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codeName="{0730EB3F-75F1-03CD-C966-41DC9FD4AD36}"/>
  <workbookPr codeName="ThisWorkbook" defaultThemeVersion="202300"/>
  <mc:AlternateContent xmlns:mc="http://schemas.openxmlformats.org/markup-compatibility/2006">
    <mc:Choice Requires="x15">
      <x15ac:absPath xmlns:x15ac="http://schemas.microsoft.com/office/spreadsheetml/2010/11/ac" url="https://sellersmfg-my.sharepoint.com/personal/kpheney_sellersmfg_com/Documents/Documents/Documents/"/>
    </mc:Choice>
  </mc:AlternateContent>
  <xr:revisionPtr revIDLastSave="0" documentId="8_{8B4D8EC8-4DE3-429C-8A38-721E9DA47D3B}" xr6:coauthVersionLast="47" xr6:coauthVersionMax="47" xr10:uidLastSave="{00000000-0000-0000-0000-000000000000}"/>
  <workbookProtection workbookAlgorithmName="SHA-512" workbookHashValue="ceTi0WoEQerbl5KlYa3zi8S7bLjiSw1bQf6YJFoAVQQDDzwHspo0X/2tFeMmf7YgJ34J9jYBw27O0eKVsJ5WnQ==" workbookSaltValue="Aj4fp4OQr37FjVbjiM4d/A==" workbookSpinCount="100000" lockStructure="1"/>
  <bookViews>
    <workbookView xWindow="-108" yWindow="-108" windowWidth="23256" windowHeight="13896" xr2:uid="{703A5F71-E62B-4073-9B44-04A8C15EC9B8}"/>
  </bookViews>
  <sheets>
    <sheet name="S-Series Quote" sheetId="6" r:id="rId1"/>
    <sheet name="Data Entry" sheetId="3" r:id="rId2"/>
    <sheet name="Options" sheetId="7" state="hidden" r:id="rId3"/>
    <sheet name="Data Validation Tables" sheetId="4" state="hidden" r:id="rId4"/>
    <sheet name="Base Pricing" sheetId="8" state="hidden" r:id="rId5"/>
    <sheet name="Motor Options" sheetId="9" state="hidden" r:id="rId6"/>
    <sheet name="BDS" sheetId="10" state="hidden" r:id="rId7"/>
  </sheets>
  <definedNames>
    <definedName name="_xleta.IF" hidden="1" xlm="1">#NAME?</definedName>
    <definedName name="_xleta.LOOKUP" hidden="1" xlm="1">#NAME?</definedName>
    <definedName name="_xleta.MATCH" hidden="1" xlm="1">#NAME?</definedName>
    <definedName name="_xleta.N" hidden="1" xlm="1">#NAME?</definedName>
    <definedName name="_xleta.T" hidden="1" xlm="1">#NAME?</definedName>
    <definedName name="_xleta.VLOOKUP" hidden="1" xlm="1">#NAME?</definedName>
    <definedName name="_xleta.XLOOKUP" hidden="1" xlm="1">#NAME?</definedName>
    <definedName name="_xlnm.Print_Area" localSheetId="1">'Data Entry'!$A$1:$D$91</definedName>
    <definedName name="_xlnm.Print_Area" localSheetId="0">'S-Series Quote'!$A$1:$M$163</definedName>
    <definedName name="Z_2D4CE29E_74EC_4B9B_B32E_1D5C2973539A_.wvu.PrintArea" localSheetId="1" hidden="1">'Data Entry'!$A$1:$D$91</definedName>
  </definedNames>
  <calcPr calcId="191029" iterate="1"/>
  <customWorkbookViews>
    <customWorkbookView name="Quote" guid="{2D4CE29E-74EC-4B9B-B32E-1D5C2973539A}" maximized="1" xWindow="-8" yWindow="-8" windowWidth="1936" windowHeight="1056" activeSheetId="3"/>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I24" i="4" l="1" a="1"/>
  <c r="AI24" i="4" s="1"/>
  <c r="K94" i="6"/>
  <c r="M94" i="6" s="1" a="1"/>
  <c r="M94" i="6" s="1"/>
  <c r="F49" i="6" s="1"/>
  <c r="K110" i="6"/>
  <c r="M110" i="6" s="1"/>
  <c r="M50" i="6" s="1"/>
  <c r="AB245" i="7"/>
  <c r="AB244" i="7"/>
  <c r="AB243" i="7"/>
  <c r="AB242" i="7"/>
  <c r="AB241" i="7"/>
  <c r="AB240" i="7"/>
  <c r="AB239" i="7"/>
  <c r="AB238" i="7"/>
  <c r="M100" i="6"/>
  <c r="D49" i="6" l="1"/>
  <c r="K50" i="6"/>
  <c r="AA239" i="7"/>
  <c r="AA240" i="7"/>
  <c r="AA241" i="7"/>
  <c r="AA242" i="7"/>
  <c r="AA243" i="7"/>
  <c r="AA244" i="7"/>
  <c r="AA245" i="7"/>
  <c r="AA246" i="7"/>
  <c r="AA238" i="7"/>
  <c r="R232" i="7"/>
  <c r="R233" i="7"/>
  <c r="R234" i="7"/>
  <c r="R235" i="7"/>
  <c r="R236" i="7"/>
  <c r="R237" i="7"/>
  <c r="R238" i="7"/>
  <c r="R239" i="7"/>
  <c r="R240" i="7"/>
  <c r="R241" i="7"/>
  <c r="R242" i="7"/>
  <c r="R243" i="7"/>
  <c r="R244" i="7"/>
  <c r="R245" i="7"/>
  <c r="R246" i="7"/>
  <c r="R247" i="7"/>
  <c r="R248" i="7"/>
  <c r="R249" i="7"/>
  <c r="R250" i="7"/>
  <c r="R251" i="7"/>
  <c r="R252" i="7"/>
  <c r="R253" i="7"/>
  <c r="R254" i="7"/>
  <c r="R255" i="7"/>
  <c r="R256" i="7"/>
  <c r="R257" i="7"/>
  <c r="R258" i="7"/>
  <c r="R259" i="7"/>
  <c r="R260" i="7"/>
  <c r="R261" i="7"/>
  <c r="R262" i="7"/>
  <c r="R263" i="7"/>
  <c r="R264" i="7"/>
  <c r="R265" i="7"/>
  <c r="R266" i="7"/>
  <c r="R267" i="7"/>
  <c r="R268" i="7"/>
  <c r="R269" i="7"/>
  <c r="R270" i="7"/>
  <c r="R271" i="7"/>
  <c r="R272" i="7"/>
  <c r="R273" i="7"/>
  <c r="R274" i="7"/>
  <c r="R275" i="7"/>
  <c r="R276" i="7"/>
  <c r="R277" i="7"/>
  <c r="R278" i="7"/>
  <c r="R279" i="7"/>
  <c r="R280" i="7"/>
  <c r="R281" i="7"/>
  <c r="R282" i="7"/>
  <c r="R283" i="7"/>
  <c r="R284" i="7"/>
  <c r="R285" i="7"/>
  <c r="R286" i="7"/>
  <c r="R287" i="7"/>
  <c r="R288" i="7"/>
  <c r="R289" i="7"/>
  <c r="R290" i="7"/>
  <c r="R291" i="7"/>
  <c r="R292" i="7"/>
  <c r="R293" i="7"/>
  <c r="R294" i="7"/>
  <c r="R295" i="7"/>
  <c r="R296" i="7"/>
  <c r="R297" i="7"/>
  <c r="R298" i="7"/>
  <c r="R299" i="7"/>
  <c r="R300" i="7"/>
  <c r="R301" i="7"/>
  <c r="R302" i="7"/>
  <c r="R303" i="7"/>
  <c r="R304" i="7"/>
  <c r="R305" i="7"/>
  <c r="R306" i="7"/>
  <c r="R307" i="7"/>
  <c r="R308" i="7"/>
  <c r="R309" i="7"/>
  <c r="R310" i="7"/>
  <c r="R311" i="7"/>
  <c r="R312" i="7"/>
  <c r="R313" i="7"/>
  <c r="R314" i="7"/>
  <c r="R315" i="7"/>
  <c r="R316" i="7"/>
  <c r="R317" i="7"/>
  <c r="R318" i="7"/>
  <c r="R319" i="7"/>
  <c r="R320" i="7"/>
  <c r="R321" i="7"/>
  <c r="R322" i="7"/>
  <c r="R323" i="7"/>
  <c r="R324" i="7"/>
  <c r="R325" i="7"/>
  <c r="R231" i="7"/>
  <c r="AB234" i="7"/>
  <c r="AD235" i="7" s="1" a="1"/>
  <c r="AD235" i="7" s="1"/>
  <c r="AD234" i="7" s="1"/>
  <c r="Z234" i="7"/>
  <c r="Y234" i="7"/>
  <c r="L12" i="6"/>
  <c r="L13" i="6" a="1"/>
  <c r="L13" i="6" s="1"/>
  <c r="AC234" i="7" s="1"/>
  <c r="M138" i="6"/>
  <c r="M117" i="6"/>
  <c r="AE234" i="7" l="1" a="1"/>
  <c r="AE234" i="7" s="1"/>
  <c r="AA234" i="7"/>
  <c r="K97" i="6"/>
  <c r="M97" i="6" s="1"/>
  <c r="F52" i="6" s="1"/>
  <c r="AD8" i="4" a="1"/>
  <c r="AD8" i="4" s="1"/>
  <c r="M131" i="6"/>
  <c r="E18" i="6"/>
  <c r="I18" i="6" s="1"/>
  <c r="AB236" i="7" l="1"/>
  <c r="AC236" i="7" s="1"/>
  <c r="D52" i="6"/>
  <c r="I19" i="6"/>
  <c r="AK31" i="4" l="1" a="1"/>
  <c r="AK31" i="4" s="1"/>
  <c r="D28" i="3" l="1"/>
  <c r="F13" i="6" s="1"/>
  <c r="D32" i="3" l="1"/>
  <c r="K102" i="6"/>
  <c r="D62" i="6" s="1"/>
  <c r="K96" i="6"/>
  <c r="K95" i="6"/>
  <c r="D50" i="6" s="1"/>
  <c r="M96" i="6" l="1" a="1"/>
  <c r="M96" i="6" s="1"/>
  <c r="F51" i="6" s="1"/>
  <c r="D51" i="6"/>
  <c r="M95" i="6"/>
  <c r="F50" i="6" s="1"/>
  <c r="AD3" i="4" a="1"/>
  <c r="AD3" i="4" s="1"/>
  <c r="S12" i="7" l="1"/>
  <c r="S13" i="7"/>
  <c r="S14" i="7"/>
  <c r="S15" i="7"/>
  <c r="S16" i="7"/>
  <c r="S17" i="7"/>
  <c r="S18" i="7"/>
  <c r="S19" i="7"/>
  <c r="S20" i="7"/>
  <c r="S11" i="7"/>
  <c r="S4" i="7"/>
  <c r="S5" i="7"/>
  <c r="S6" i="7"/>
  <c r="S7" i="7"/>
  <c r="S8" i="7"/>
  <c r="S9" i="7"/>
  <c r="S10" i="7"/>
  <c r="S3" i="7"/>
  <c r="S2" i="7"/>
  <c r="K92" i="6" l="1"/>
  <c r="K115" i="6"/>
  <c r="K114" i="6"/>
  <c r="K113" i="6"/>
  <c r="K112" i="6"/>
  <c r="K54" i="6" s="1"/>
  <c r="K111" i="6"/>
  <c r="M111" i="6" s="1"/>
  <c r="M53" i="6" s="1"/>
  <c r="K109" i="6"/>
  <c r="K108" i="6"/>
  <c r="K48" i="6" s="1"/>
  <c r="K107" i="6"/>
  <c r="K106" i="6"/>
  <c r="K105" i="6"/>
  <c r="K104" i="6"/>
  <c r="D61" i="6" s="1"/>
  <c r="K103" i="6"/>
  <c r="D60" i="6" s="1"/>
  <c r="K101" i="6"/>
  <c r="K100" i="6"/>
  <c r="K99" i="6"/>
  <c r="D54" i="6" s="1"/>
  <c r="K98" i="6"/>
  <c r="D53" i="6" s="1"/>
  <c r="K93" i="6"/>
  <c r="K91" i="6"/>
  <c r="M91" i="6" s="1"/>
  <c r="AY15" i="4" a="1"/>
  <c r="AY15" i="4" s="1"/>
  <c r="V2" i="4" a="1"/>
  <c r="V2" i="4" s="1"/>
  <c r="G58" i="8"/>
  <c r="G57" i="8"/>
  <c r="G59" i="8"/>
  <c r="G77" i="8"/>
  <c r="G60" i="8"/>
  <c r="G78" i="8"/>
  <c r="G61" i="8"/>
  <c r="G79" i="8"/>
  <c r="G62" i="8"/>
  <c r="G80" i="8"/>
  <c r="G63" i="8"/>
  <c r="G81" i="8"/>
  <c r="G64" i="8"/>
  <c r="G82" i="8"/>
  <c r="G65" i="8"/>
  <c r="G83" i="8"/>
  <c r="G66" i="8"/>
  <c r="G84" i="8"/>
  <c r="G68" i="8"/>
  <c r="G86" i="8"/>
  <c r="G70" i="8"/>
  <c r="G88" i="8"/>
  <c r="G71" i="8"/>
  <c r="G89" i="8"/>
  <c r="G72" i="8"/>
  <c r="G90" i="8"/>
  <c r="G73" i="8"/>
  <c r="G91" i="8"/>
  <c r="G74" i="8"/>
  <c r="G92" i="8"/>
  <c r="G75" i="8"/>
  <c r="G93" i="8"/>
  <c r="G76" i="8"/>
  <c r="G94" i="8"/>
  <c r="G56" i="8"/>
  <c r="G55" i="8"/>
  <c r="G54" i="8"/>
  <c r="G53" i="8"/>
  <c r="G52" i="8"/>
  <c r="G51" i="8"/>
  <c r="G50" i="8"/>
  <c r="G48" i="8"/>
  <c r="G46" i="8"/>
  <c r="G45" i="8"/>
  <c r="G44" i="8"/>
  <c r="G43" i="8"/>
  <c r="G42" i="8"/>
  <c r="G41" i="8"/>
  <c r="G40" i="8"/>
  <c r="G39" i="8"/>
  <c r="M101" i="6" l="1"/>
  <c r="F56" i="6" s="1"/>
  <c r="D56" i="6"/>
  <c r="M113" i="6" a="1"/>
  <c r="M113" i="6" s="1"/>
  <c r="M55" i="6" s="1"/>
  <c r="F44" i="6"/>
  <c r="M105" i="6"/>
  <c r="M45" i="6" s="1"/>
  <c r="K45" i="6"/>
  <c r="D55" i="6"/>
  <c r="F55" i="6"/>
  <c r="M104" i="6"/>
  <c r="F61" i="6" s="1"/>
  <c r="M98" i="6" a="1"/>
  <c r="M98" i="6" s="1"/>
  <c r="F53" i="6" s="1"/>
  <c r="M103" i="6"/>
  <c r="F60" i="6" s="1"/>
  <c r="K55" i="6"/>
  <c r="K47" i="6"/>
  <c r="M107" i="6"/>
  <c r="M47" i="6" s="1"/>
  <c r="K56" i="6"/>
  <c r="M114" i="6"/>
  <c r="M56" i="6" s="1"/>
  <c r="K49" i="6"/>
  <c r="M109" i="6"/>
  <c r="M49" i="6" s="1"/>
  <c r="M99" i="6"/>
  <c r="F54" i="6" s="1"/>
  <c r="K46" i="6"/>
  <c r="K57" i="6"/>
  <c r="M115" i="6"/>
  <c r="M57" i="6" s="1"/>
  <c r="D44" i="6"/>
  <c r="D46" i="6"/>
  <c r="K53" i="6"/>
  <c r="AO3" i="4" l="1" a="1"/>
  <c r="AO3" i="4" s="1"/>
  <c r="K18" i="6"/>
  <c r="M112" i="6" l="1"/>
  <c r="M54" i="6" s="1"/>
  <c r="K16" i="6"/>
  <c r="G16" i="6"/>
  <c r="E88" i="6" l="1"/>
  <c r="L3" i="6"/>
  <c r="E87" i="6" s="1"/>
  <c r="G14" i="6"/>
  <c r="B9" i="6"/>
  <c r="F12" i="6"/>
  <c r="M87" i="6" s="1" a="1"/>
  <c r="M87" i="6" s="1"/>
  <c r="F11" i="6"/>
  <c r="L4" i="6"/>
  <c r="B5" i="6"/>
  <c r="B4" i="6"/>
  <c r="B3" i="6"/>
  <c r="E85" i="6" s="1"/>
  <c r="U17" i="4"/>
  <c r="V17" i="4" s="1"/>
  <c r="U18" i="4"/>
  <c r="V18" i="4" s="1"/>
  <c r="U19" i="4"/>
  <c r="V19" i="4" s="1"/>
  <c r="U20" i="4"/>
  <c r="V20" i="4" s="1"/>
  <c r="U16" i="4"/>
  <c r="V16" i="4" s="1"/>
  <c r="U10" i="4"/>
  <c r="V10" i="4" s="1"/>
  <c r="U11" i="4"/>
  <c r="V11" i="4" s="1"/>
  <c r="U12" i="4"/>
  <c r="V12" i="4" s="1"/>
  <c r="U13" i="4"/>
  <c r="V13" i="4" s="1"/>
  <c r="U14" i="4"/>
  <c r="V14" i="4" s="1"/>
  <c r="M102" i="6" l="1"/>
  <c r="F62" i="6" s="1"/>
  <c r="M106" i="6" a="1"/>
  <c r="M106" i="6" s="1"/>
  <c r="M46" i="6" s="1"/>
  <c r="M92" i="6"/>
  <c r="L62" i="6"/>
  <c r="M108" i="6"/>
  <c r="M48" i="6" s="1"/>
  <c r="M93" i="6"/>
  <c r="F46" i="6" s="1"/>
  <c r="H11" i="6" a="1"/>
  <c r="H11" i="6" s="1"/>
  <c r="E86" i="6"/>
  <c r="M76" i="6"/>
  <c r="E93" i="6"/>
  <c r="E92" i="6"/>
  <c r="F45" i="6" l="1"/>
  <c r="M116" i="6"/>
  <c r="D45" i="6"/>
  <c r="M60" i="6" l="1"/>
  <c r="M62" i="6" s="1"/>
  <c r="M119" i="6"/>
  <c r="M120" i="6"/>
  <c r="M118" i="6"/>
  <c r="M133" i="6" l="1"/>
  <c r="M137" i="6" s="1"/>
  <c r="M139" i="6" s="1"/>
  <c r="M141" i="6" l="1"/>
  <c r="F69" i="6"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<sst xmlns="http://schemas.openxmlformats.org/spreadsheetml/2006/main" count="1296" uniqueCount="491">
  <si>
    <t>Job Name</t>
  </si>
  <si>
    <t xml:space="preserve"> </t>
  </si>
  <si>
    <t>S-Series Boiler Pricing Configurator</t>
  </si>
  <si>
    <t>Unit Size</t>
  </si>
  <si>
    <t>NO</t>
  </si>
  <si>
    <t>YES</t>
  </si>
  <si>
    <t>Will this equipment be exposed to weather?</t>
  </si>
  <si>
    <t>What is the size of the Boiler?</t>
  </si>
  <si>
    <t>How many do you need?</t>
  </si>
  <si>
    <t>Do you need a removable burner door?</t>
  </si>
  <si>
    <t>Basic Information</t>
  </si>
  <si>
    <t>Steam Side Trim</t>
  </si>
  <si>
    <t>What design pressure do you want?</t>
  </si>
  <si>
    <t>What is your operating pressure?</t>
  </si>
  <si>
    <t>What fuel are you using?</t>
  </si>
  <si>
    <t>Natural Gas</t>
  </si>
  <si>
    <t>Propane</t>
  </si>
  <si>
    <t xml:space="preserve">Automatic  </t>
  </si>
  <si>
    <t>Do you want bottom blow down valves?</t>
  </si>
  <si>
    <t>Do you want a blowdown separator?</t>
  </si>
  <si>
    <t>Do you want feedwater stop and check valves?</t>
  </si>
  <si>
    <t>Do you want a modulating feed water valve?</t>
  </si>
  <si>
    <t>Do you want a steam outlet valve package?</t>
  </si>
  <si>
    <t>Gas Trim</t>
  </si>
  <si>
    <t>Do you want gas pressure gauges?</t>
  </si>
  <si>
    <t>Do you want a gas flow meter?</t>
  </si>
  <si>
    <t>Optional Accessories</t>
  </si>
  <si>
    <t>Do you want a damper?</t>
  </si>
  <si>
    <t>Do you want a fuse disconnect switch?</t>
  </si>
  <si>
    <t>Do you want a relief door shield?</t>
  </si>
  <si>
    <t>Would you prefer a stainless steel jacket?</t>
  </si>
  <si>
    <t>Would you like a custom paint color?</t>
  </si>
  <si>
    <t xml:space="preserve">     if YES, please provide a PPG number</t>
  </si>
  <si>
    <t>Controls</t>
  </si>
  <si>
    <t>Do you want O2 Trim?</t>
  </si>
  <si>
    <t>Do you want a VFD?</t>
  </si>
  <si>
    <t>ODP</t>
  </si>
  <si>
    <t>TEFC</t>
  </si>
  <si>
    <t>Do you want a high water alarm?</t>
  </si>
  <si>
    <t>YES - Probe</t>
  </si>
  <si>
    <t>YES - Float</t>
  </si>
  <si>
    <t>Do you want a lead lag control system?</t>
  </si>
  <si>
    <t>Modbus</t>
  </si>
  <si>
    <t>BACnet</t>
  </si>
  <si>
    <t>Modulating Feed Water Valve</t>
  </si>
  <si>
    <t>Filtered List</t>
  </si>
  <si>
    <t>Do you need NFPA 85?</t>
  </si>
  <si>
    <t>Rep Name</t>
  </si>
  <si>
    <t>Ship to State</t>
  </si>
  <si>
    <t>Date</t>
  </si>
  <si>
    <t>Abbreviation</t>
  </si>
  <si>
    <t>AL</t>
  </si>
  <si>
    <t>AK</t>
  </si>
  <si>
    <t>AZ</t>
  </si>
  <si>
    <t>AR</t>
  </si>
  <si>
    <t>CA</t>
  </si>
  <si>
    <t>CO</t>
  </si>
  <si>
    <t>CT</t>
  </si>
  <si>
    <t>DE</t>
  </si>
  <si>
    <t>DC</t>
  </si>
  <si>
    <t>FL</t>
  </si>
  <si>
    <t>GA</t>
  </si>
  <si>
    <t>HI</t>
  </si>
  <si>
    <t>ID</t>
  </si>
  <si>
    <t>IL</t>
  </si>
  <si>
    <t>IN</t>
  </si>
  <si>
    <t>IA</t>
  </si>
  <si>
    <t>KS</t>
  </si>
  <si>
    <t>KY</t>
  </si>
  <si>
    <t>LA</t>
  </si>
  <si>
    <t>ME</t>
  </si>
  <si>
    <t>MD</t>
  </si>
  <si>
    <t>MA</t>
  </si>
  <si>
    <t>MI</t>
  </si>
  <si>
    <t>MN</t>
  </si>
  <si>
    <t>MS</t>
  </si>
  <si>
    <t>MO</t>
  </si>
  <si>
    <t>MT</t>
  </si>
  <si>
    <t>NE</t>
  </si>
  <si>
    <t>NV</t>
  </si>
  <si>
    <t>NH</t>
  </si>
  <si>
    <t>NJ</t>
  </si>
  <si>
    <t>NM</t>
  </si>
  <si>
    <t>NY</t>
  </si>
  <si>
    <t>NC</t>
  </si>
  <si>
    <t>ND</t>
  </si>
  <si>
    <t>OH</t>
  </si>
  <si>
    <t>OK</t>
  </si>
  <si>
    <t>OR</t>
  </si>
  <si>
    <t>PA</t>
  </si>
  <si>
    <t>RI</t>
  </si>
  <si>
    <t>SC</t>
  </si>
  <si>
    <t>SD</t>
  </si>
  <si>
    <t>TN</t>
  </si>
  <si>
    <t>TX</t>
  </si>
  <si>
    <t>UT</t>
  </si>
  <si>
    <t>VT</t>
  </si>
  <si>
    <t>VA</t>
  </si>
  <si>
    <t>WA</t>
  </si>
  <si>
    <t>WV</t>
  </si>
  <si>
    <t>WI</t>
  </si>
  <si>
    <t>WY</t>
  </si>
  <si>
    <t>Rapid Response Steam Boiler Proposal</t>
  </si>
  <si>
    <t>HP-</t>
  </si>
  <si>
    <t>SELLERS MODEL NUMBER</t>
  </si>
  <si>
    <t>PSI ASME DESIGN PRESSURE</t>
  </si>
  <si>
    <t>BTU PER HOUR INPUT</t>
  </si>
  <si>
    <t>UL &amp; CSD-1</t>
  </si>
  <si>
    <t>AGENCY APPROVAL</t>
  </si>
  <si>
    <t>BTU</t>
  </si>
  <si>
    <t xml:space="preserve">STANDARD COMPONENTS &amp; TRIM </t>
  </si>
  <si>
    <t>NOTES AND EXCEPTIONS:</t>
  </si>
  <si>
    <t>ALL UNITS MUST BE MOVED WITH AN OVERHEAD LIFT VIA LIFTING LUGS</t>
  </si>
  <si>
    <t>STARTUP TO BE RESPONSIBILITY OF REP OR REPS CONTRACTOR</t>
  </si>
  <si>
    <t>FREIGHT NOT INCLUDED</t>
  </si>
  <si>
    <t>TERMS:</t>
  </si>
  <si>
    <t>50% DOWN PAYMENT</t>
  </si>
  <si>
    <t>LBS</t>
  </si>
  <si>
    <t>APPROXIMATE SHIPPING WEIGHT EACH.</t>
  </si>
  <si>
    <t>WEEKS</t>
  </si>
  <si>
    <t>ESTIMATED LEAD TIME FROM DATE OF RELEASE.</t>
  </si>
  <si>
    <t>SUBJECT TO CHANGE</t>
  </si>
  <si>
    <t>SUBJECT TO SELLERS MANUFACTURING STANDARD TERMS &amp; CONDITIONS</t>
  </si>
  <si>
    <t xml:space="preserve">EQUIPMENT IS FACTORY ASSEMBLIED, TEST FIRED AND SHIPPED ON STRUCTURAL STEEL SKIDS AS A COMPLETE PACKAGED UNIT. </t>
  </si>
  <si>
    <t>INSTALLATION IS COMPLETED BY MAKING GAS, ELECTRIC, WATER AND VENT CONNECTIONS.</t>
  </si>
  <si>
    <r>
      <rPr>
        <b/>
        <sz val="8"/>
        <rFont val="Arial"/>
        <family val="2"/>
      </rPr>
      <t>CONFIDENTIALITY NOTICE</t>
    </r>
    <r>
      <rPr>
        <sz val="8"/>
        <rFont val="Arial"/>
        <family val="2"/>
      </rPr>
      <t xml:space="preserve">: THE INFORMATION CONTAINED IN THIS QUOTATION AND ANY ATTACHED DOCUMENTATION IS CONSIDERED PRIVILEGED &amp; CONFIDENTIAL. THE USE, DISTRIBUTION, </t>
    </r>
  </si>
  <si>
    <t xml:space="preserve">OR TRANSMITTAL TO UNINTENDED RECIPIENTS IS STRICTLY PROHIBITED WITHOUT OUR EXPRESS APPROVAL IN WRITING AND MAY BE PUNISHABLE BY LAW. </t>
  </si>
  <si>
    <t>QUOTE DATA</t>
  </si>
  <si>
    <t>COMPANY NAME:</t>
  </si>
  <si>
    <t xml:space="preserve"> PRICING BREAKDOWN:</t>
  </si>
  <si>
    <t xml:space="preserve">           LIST PRICE</t>
  </si>
  <si>
    <t>INDIVIDUAL REQUESTING QUOTE:</t>
  </si>
  <si>
    <t>JOB NAME:</t>
  </si>
  <si>
    <t xml:space="preserve"> BASE BOILER PRICE:</t>
  </si>
  <si>
    <t>PROPOSAL NUMBER:</t>
  </si>
  <si>
    <t xml:space="preserve"> INCLUDES STANDARD TRIM</t>
  </si>
  <si>
    <t>FILE NAME:</t>
  </si>
  <si>
    <t xml:space="preserve"> ACCESORIES:</t>
  </si>
  <si>
    <t>SELECTION PARAMETERS</t>
  </si>
  <si>
    <t>BOILER HORSEPOWER:</t>
  </si>
  <si>
    <t>DESIGN PRESSURE:</t>
  </si>
  <si>
    <t xml:space="preserve"> LIST ADD FROM WORKSHEET:</t>
  </si>
  <si>
    <t>DUAL FUEL</t>
  </si>
  <si>
    <t>LIST PRICE:</t>
  </si>
  <si>
    <t xml:space="preserve"> QUANTITY:</t>
  </si>
  <si>
    <t>X</t>
  </si>
  <si>
    <t>TOTAL LIST PRICE:</t>
  </si>
  <si>
    <t>NET PRICE:</t>
  </si>
  <si>
    <t>WEIGHT:</t>
  </si>
  <si>
    <t>Quoted by:</t>
  </si>
  <si>
    <t>Operating Pressure</t>
  </si>
  <si>
    <t>Design Pressure</t>
  </si>
  <si>
    <t>Design Presure</t>
  </si>
  <si>
    <t>Max Operating Pressure</t>
  </si>
  <si>
    <t>Min Operating Pressure</t>
  </si>
  <si>
    <t>To:</t>
  </si>
  <si>
    <t xml:space="preserve">Attn: </t>
  </si>
  <si>
    <t>Date:</t>
  </si>
  <si>
    <t>Proposal No.</t>
  </si>
  <si>
    <t>Project Location:</t>
  </si>
  <si>
    <t>Qty:</t>
  </si>
  <si>
    <t>chart</t>
  </si>
  <si>
    <t>volt</t>
  </si>
  <si>
    <t>cycle</t>
  </si>
  <si>
    <t>phase</t>
  </si>
  <si>
    <t>MOTOR ELECTRICAL CHARACTERISTICS</t>
  </si>
  <si>
    <t>GAS CHARACTERISTICS</t>
  </si>
  <si>
    <t>Type</t>
  </si>
  <si>
    <t>Pressure</t>
  </si>
  <si>
    <t>APPROVED CREDIT</t>
  </si>
  <si>
    <t xml:space="preserve">50% NET 30 WITH </t>
  </si>
  <si>
    <t>SUBMITTED BY</t>
  </si>
  <si>
    <t>Project Name:</t>
  </si>
  <si>
    <t>Damper</t>
  </si>
  <si>
    <t>Disconnect Switch</t>
  </si>
  <si>
    <t>Relief Door Shield</t>
  </si>
  <si>
    <t>Stainless Steel Jacket</t>
  </si>
  <si>
    <t>Custom Paint</t>
  </si>
  <si>
    <t>O2 Trim</t>
  </si>
  <si>
    <t>VFD</t>
  </si>
  <si>
    <t>High Water Alarm</t>
  </si>
  <si>
    <t>Lead Lag Control System</t>
  </si>
  <si>
    <t>Do you want BACnet Protocol?</t>
  </si>
  <si>
    <t>BACnet Protocol</t>
  </si>
  <si>
    <t>Options</t>
  </si>
  <si>
    <t>Gas Pressure Gauges</t>
  </si>
  <si>
    <t>Gas Flow Meter</t>
  </si>
  <si>
    <t>None</t>
  </si>
  <si>
    <t>Blowdown Valves</t>
  </si>
  <si>
    <t>Blowdown Separator</t>
  </si>
  <si>
    <t>Feedwater Stop and Check Valves</t>
  </si>
  <si>
    <t>3-Valve Bypass</t>
  </si>
  <si>
    <t>Steam Outlet Valve Package</t>
  </si>
  <si>
    <t>Removable Burner Door</t>
  </si>
  <si>
    <t>NFPA 85</t>
  </si>
  <si>
    <t>Installed in Texas</t>
  </si>
  <si>
    <t>PSI</t>
  </si>
  <si>
    <t>ADDITIONAL/ALTERNATE ITEMS INCLUDED:</t>
  </si>
  <si>
    <t>What motor voltage is needed?</t>
  </si>
  <si>
    <t>230/60/1</t>
  </si>
  <si>
    <t>208/60/3</t>
  </si>
  <si>
    <t>230/60/3</t>
  </si>
  <si>
    <t>460/60/3</t>
  </si>
  <si>
    <t>Boiler Size</t>
  </si>
  <si>
    <t>15C</t>
  </si>
  <si>
    <t>15SR</t>
  </si>
  <si>
    <t>77C</t>
  </si>
  <si>
    <t>105E</t>
  </si>
  <si>
    <t>Model</t>
  </si>
  <si>
    <t>S-SERIES Modulating</t>
  </si>
  <si>
    <t>N/A</t>
  </si>
  <si>
    <t>List</t>
  </si>
  <si>
    <t>VFD Blower Motor</t>
  </si>
  <si>
    <t>Must always use LMV52, included. Also need a TEFC blower motor, not included.</t>
  </si>
  <si>
    <r>
      <t>O</t>
    </r>
    <r>
      <rPr>
        <b/>
        <vertAlign val="subscript"/>
        <sz val="14"/>
        <rFont val="Aptos Narrow"/>
        <family val="2"/>
        <scheme val="minor"/>
      </rPr>
      <t>2</t>
    </r>
    <r>
      <rPr>
        <b/>
        <sz val="14"/>
        <rFont val="Aptos Narrow"/>
        <family val="2"/>
        <scheme val="minor"/>
      </rPr>
      <t xml:space="preserve"> Trim</t>
    </r>
  </si>
  <si>
    <t>LWA Adders</t>
  </si>
  <si>
    <t>LWA has their own set of adders. Low Nox 30ppm already accounted for. Side mounted control annunication (Alarm, Unit ON, Burner ON, Call for Heat, and HOA if included).</t>
  </si>
  <si>
    <t>Includes:</t>
  </si>
  <si>
    <t>On/Off</t>
  </si>
  <si>
    <t>Relief blast shield, Flue Temp Gauge, PLSC, Phase failure relay, Alarm circuit, Vent limiter &amp; ventless gas swithces, Lockable panel, Side mounted control annunication, Fireye. Monarch Gas Pressure Data Logger</t>
  </si>
  <si>
    <t>Modulating</t>
  </si>
  <si>
    <t>Relief blast shield, Flue Temp Gauge, Phase failure relay, Alarm circuit, Vent limiter &amp; ventless gas swithces, Lockable panel, Side mounted control annunication, Monarch Gas Pressure Data Logger</t>
  </si>
  <si>
    <t>CO Interlock Adders  -- (NEW CODE REQUIREMENT for TEXAS!!)</t>
  </si>
  <si>
    <t>Includes relay/base, red light, (2) Terminal Block</t>
  </si>
  <si>
    <t>On/Off &amp; Modulating</t>
  </si>
  <si>
    <t>Factory installed damper on flue outlet of the boiler. Includes damper with sleeve bearings or position locking clamp.</t>
  </si>
  <si>
    <t>Stainless Jacket</t>
  </si>
  <si>
    <t>Boiler HP</t>
  </si>
  <si>
    <t>10-125</t>
  </si>
  <si>
    <t>700-900</t>
  </si>
  <si>
    <t xml:space="preserve"> Burner Door</t>
  </si>
  <si>
    <t>Removable</t>
  </si>
  <si>
    <t>Burner doors on XID Immersion fired boilers up to 150HP&amp; Water Heaters up to BT-24 can be Pins CANNOT be removed in larger boilers. A removable bolt on hinge assembly must be provided as follows:</t>
  </si>
  <si>
    <t>150-200</t>
  </si>
  <si>
    <t>300-600</t>
  </si>
  <si>
    <t>800-900</t>
  </si>
  <si>
    <t>only available up to 150 PSI</t>
  </si>
  <si>
    <t>Automatic or Manual Surface Blowdown</t>
  </si>
  <si>
    <t>Fuel Type</t>
  </si>
  <si>
    <t>Does fuel type affect pricing?</t>
  </si>
  <si>
    <t>this is the Steam Stop &amp;Stop Check + two spools</t>
  </si>
  <si>
    <t>chart  - Probe or Float</t>
  </si>
  <si>
    <t>Required if Extreme Weather is Selected - Price this as Outdoor Weather Proofing</t>
  </si>
  <si>
    <t>Modbus is standard and included in the base price</t>
  </si>
  <si>
    <t>What is the pressure required at the gas train inlet?</t>
  </si>
  <si>
    <t>Max</t>
  </si>
  <si>
    <t>Motor HP</t>
  </si>
  <si>
    <t>Motor HP required with selected boiler size.</t>
  </si>
  <si>
    <t>Single Phase</t>
  </si>
  <si>
    <t>Three Phase</t>
  </si>
  <si>
    <t>Motor</t>
  </si>
  <si>
    <t>120/1</t>
  </si>
  <si>
    <t>208/1</t>
  </si>
  <si>
    <t>230/1</t>
  </si>
  <si>
    <t>208/3</t>
  </si>
  <si>
    <t>230/3</t>
  </si>
  <si>
    <t>460/3</t>
  </si>
  <si>
    <t>HP</t>
  </si>
  <si>
    <t>Overload</t>
  </si>
  <si>
    <t>Boiler</t>
  </si>
  <si>
    <t>Motors</t>
  </si>
  <si>
    <t>EL11309</t>
  </si>
  <si>
    <t>EL3509</t>
  </si>
  <si>
    <t>VEM31115</t>
  </si>
  <si>
    <t>EM31115</t>
  </si>
  <si>
    <t>EL11313</t>
  </si>
  <si>
    <t>XL141522T</t>
  </si>
  <si>
    <t>VEW3120T</t>
  </si>
  <si>
    <t>EM3120T</t>
  </si>
  <si>
    <t>EL11317</t>
  </si>
  <si>
    <t>EL3515T</t>
  </si>
  <si>
    <t>VEM3155T</t>
  </si>
  <si>
    <t>EM3155T</t>
  </si>
  <si>
    <t>EL1406T</t>
  </si>
  <si>
    <t>JML1406T</t>
  </si>
  <si>
    <t>EM3158T-8</t>
  </si>
  <si>
    <t>EM3158T</t>
  </si>
  <si>
    <t>L1409T</t>
  </si>
  <si>
    <t>EM3212T-8</t>
  </si>
  <si>
    <t>EM3212T</t>
  </si>
  <si>
    <t>L1509T</t>
  </si>
  <si>
    <t>EM3219T-8</t>
  </si>
  <si>
    <t>EM3219T</t>
  </si>
  <si>
    <t>L1511T</t>
  </si>
  <si>
    <t>EM3312T-8</t>
  </si>
  <si>
    <t>EM3312T</t>
  </si>
  <si>
    <t>EM3314T-8</t>
  </si>
  <si>
    <t>EM3314T</t>
  </si>
  <si>
    <t>EM2514T-8</t>
  </si>
  <si>
    <t>EM2514T</t>
  </si>
  <si>
    <t>EM2516T-8</t>
  </si>
  <si>
    <t>EM2516T</t>
  </si>
  <si>
    <t>EM2534T-8</t>
  </si>
  <si>
    <t>EM2534T</t>
  </si>
  <si>
    <t>EM2538T-8</t>
  </si>
  <si>
    <t>EM2538T</t>
  </si>
  <si>
    <t>EM3545</t>
  </si>
  <si>
    <t>L3513T</t>
  </si>
  <si>
    <t>EM3583T</t>
  </si>
  <si>
    <t>EM3550T</t>
  </si>
  <si>
    <t>EM3555T</t>
  </si>
  <si>
    <t>EL3636T</t>
  </si>
  <si>
    <t>EL3606T</t>
  </si>
  <si>
    <t>EM3660T-8</t>
  </si>
  <si>
    <t>EM3559T</t>
  </si>
  <si>
    <t>EL3608T</t>
  </si>
  <si>
    <t>EM3663T-8</t>
  </si>
  <si>
    <t>EM3613T</t>
  </si>
  <si>
    <t>L3709T</t>
  </si>
  <si>
    <t>EM3769T-8</t>
  </si>
  <si>
    <t>EM3616T</t>
  </si>
  <si>
    <t>L3711T</t>
  </si>
  <si>
    <t>EM3771T-8</t>
  </si>
  <si>
    <t>EM3711T</t>
  </si>
  <si>
    <t>EM2394T-8</t>
  </si>
  <si>
    <t>EM3713T</t>
  </si>
  <si>
    <t>EM4106T-8</t>
  </si>
  <si>
    <t>EM4106T</t>
  </si>
  <si>
    <t>EM4107T-8</t>
  </si>
  <si>
    <t>EM4118T</t>
  </si>
  <si>
    <t>EM4108T-8</t>
  </si>
  <si>
    <t>EM4108T</t>
  </si>
  <si>
    <t>EM4109T</t>
  </si>
  <si>
    <t>XTOB010CC1</t>
  </si>
  <si>
    <t>XTOB006BC1</t>
  </si>
  <si>
    <t>XTOB004BC1</t>
  </si>
  <si>
    <t>XTOB2P4BC1</t>
  </si>
  <si>
    <t>XTOB016CC1</t>
  </si>
  <si>
    <t>XTOB010BC1</t>
  </si>
  <si>
    <t>XTOB024CC1</t>
  </si>
  <si>
    <t>XTOB012BC1</t>
  </si>
  <si>
    <t>XTOB032CC1</t>
  </si>
  <si>
    <t>XTOB040DC1</t>
  </si>
  <si>
    <t>XTOB057DC1</t>
  </si>
  <si>
    <t>XTOB016BC1</t>
  </si>
  <si>
    <t>XTOB70GC1</t>
  </si>
  <si>
    <t>XTOB065DC1</t>
  </si>
  <si>
    <t>XTOB100GC1</t>
  </si>
  <si>
    <t>High Pressure Shell Construction</t>
  </si>
  <si>
    <t>Price includes special controls and trim necessary for higher temperature &amp; pressure. This is meant for Immersion Fired high temperature hot water boilers or high pressure steam boilers. 300PSI requires 16 weeks and a step down regulator ($3,000) for the DA.</t>
  </si>
  <si>
    <t>Unit HP</t>
  </si>
  <si>
    <t>200 PSI</t>
  </si>
  <si>
    <t>250 PSI</t>
  </si>
  <si>
    <t>300 PSI</t>
  </si>
  <si>
    <t>10-20</t>
  </si>
  <si>
    <t>30-50</t>
  </si>
  <si>
    <t>60-80</t>
  </si>
  <si>
    <t>100-125</t>
  </si>
  <si>
    <t>250-300</t>
  </si>
  <si>
    <t>Motor for outdoor install</t>
  </si>
  <si>
    <t>Standard motor enclosure</t>
  </si>
  <si>
    <t>List Price</t>
  </si>
  <si>
    <t>Siemens</t>
  </si>
  <si>
    <t>Manual</t>
  </si>
  <si>
    <t>SS Jacket</t>
  </si>
  <si>
    <t>250-600</t>
  </si>
  <si>
    <t>changed 12/6 per JB</t>
  </si>
  <si>
    <t>Gas Pressure</t>
  </si>
  <si>
    <t>IF(range_with_data&lt;&gt;"", range_with_data, "")</t>
  </si>
  <si>
    <t>Bottom Blow Down Valves</t>
  </si>
  <si>
    <t>Feedwater Stop &amp; Check Valves</t>
  </si>
  <si>
    <t>Fuse Disconnect Switch</t>
  </si>
  <si>
    <t xml:space="preserve">O2 Trim </t>
  </si>
  <si>
    <t>Exposed to Weather</t>
  </si>
  <si>
    <t>NFPA-85</t>
  </si>
  <si>
    <t>Outdoor Weather Proofing</t>
  </si>
  <si>
    <t>Waterproofing</t>
  </si>
  <si>
    <t>Liquid tight, flexible conduit, fitting and junction box (Analog)</t>
  </si>
  <si>
    <t>Outdoor weatherproofing</t>
  </si>
  <si>
    <t>up to 48" shell (up to 175HP)</t>
  </si>
  <si>
    <t>54" shell and over (200hp +)</t>
  </si>
  <si>
    <t>Includes waterproof wiring from above, Nema4 cabinets, TEFC motors and opening seals.</t>
  </si>
  <si>
    <t xml:space="preserve">Surface Blowdown </t>
  </si>
  <si>
    <t>&amp; Tasco). Pricing includes installation.  Consult factory over 150 PSI.</t>
  </si>
  <si>
    <t>Continuous</t>
  </si>
  <si>
    <t>Do you want an automatic or continuos surface blowdown?</t>
  </si>
  <si>
    <t>Nema 1 Fused Disconnect</t>
  </si>
  <si>
    <t>Nema 12 Fused Disconnect</t>
  </si>
  <si>
    <t>Nema 1</t>
  </si>
  <si>
    <t>Nema 12</t>
  </si>
  <si>
    <t>Lead-Lag Control System</t>
  </si>
  <si>
    <t>A control panel with switches, minimum run timer and boiler relays are provided with a pressure control shipped loose for field installation. Suitable for a two boiler system and requires a separate 120v 'power supply.  Contact factory if control of 3 or more boilers is required. (For more advanced use Siemens configurer inside Sales-&gt; Pricing; cost * 1.3 / .665 = list.)</t>
  </si>
  <si>
    <t>Analog</t>
  </si>
  <si>
    <t>A shield on the rear door of an Immersion boiler or water heater to prevent crowding or obstruction of the door.</t>
  </si>
  <si>
    <t>All immersion boilers &amp; water heaters</t>
  </si>
  <si>
    <t>Special Paint</t>
  </si>
  <si>
    <t>Painting a finished unit with a special paint provided by the customer. Paint must pre-approved by factory to conform with spraying equipment. Includes spare paint.</t>
  </si>
  <si>
    <t>Liquid Paint Only</t>
  </si>
  <si>
    <t>Protocol Converters</t>
  </si>
  <si>
    <t>No touch screen needed, will get you BACNET.</t>
  </si>
  <si>
    <t>Feedwater Connections</t>
  </si>
  <si>
    <t>Stop &amp; Check</t>
  </si>
  <si>
    <t>Belimo valve, good up to 150 PSI. Stoermer up to 300 PSI. MM 193-7B float included. Colsult factory over 150 PSI. 3 hours labor.</t>
  </si>
  <si>
    <t>Digital Actuated Valve</t>
  </si>
  <si>
    <t>Linkage Actuated Valve</t>
  </si>
  <si>
    <t>3 Valve Bypass</t>
  </si>
  <si>
    <t xml:space="preserve">NO </t>
  </si>
  <si>
    <t>YES - LINKAGE</t>
  </si>
  <si>
    <t>YES - DIGITAL</t>
  </si>
  <si>
    <t xml:space="preserve">YES  </t>
  </si>
  <si>
    <t>No</t>
  </si>
  <si>
    <t>Fused Disconnect Switch</t>
  </si>
  <si>
    <t>Pricing includes fuses.</t>
  </si>
  <si>
    <t>A heavy duty three pole disconnect switch with fuses mounted in lieu of the junction box normally furnished.</t>
  </si>
  <si>
    <t>Gas Pressure Guage (2.5" Dia)</t>
  </si>
  <si>
    <t>Range</t>
  </si>
  <si>
    <t>0-35" WC</t>
  </si>
  <si>
    <t>0-5 PSI</t>
  </si>
  <si>
    <t>Verify I understood the pressure for pricing</t>
  </si>
  <si>
    <t>Boiler Hourly Gas Input</t>
  </si>
  <si>
    <t>Water Level Controls</t>
  </si>
  <si>
    <t>The McDonnell &amp; Miller float type low water cutoff and pump control with water column is standard on all steam boilers. The following substitutions and secondary water level and cutoff controls are available. Probe type controls are UL listed for installation in Section IV hot water vessels only and include manual reset as standard. (Controls are wired, but alarm terminals require an alarm circuit to function).</t>
  </si>
  <si>
    <t>Dual Fuel Controls</t>
  </si>
  <si>
    <t>The  dual fuel prices below are for NG &amp; LP jobs only. Pricing based off 1 PSI pressure incoming. Assumes NG parts are incorporated in base price. Main change includes 3 way gas cock, Siemens gas train, switch, and labor. Modulating units, consult factory. On average 5 hours. Digester must have NG or LP pilot.</t>
  </si>
  <si>
    <t>Price Each</t>
  </si>
  <si>
    <t>Total Accessories Pricing Each</t>
  </si>
  <si>
    <r>
      <t xml:space="preserve">YOUR TOTAL PRICE </t>
    </r>
    <r>
      <rPr>
        <b/>
        <sz val="14"/>
        <rFont val="Arial"/>
        <family val="2"/>
      </rPr>
      <t>(VALID FOR 30 DAYS)</t>
    </r>
    <r>
      <rPr>
        <sz val="14"/>
        <rFont val="Arial"/>
        <family val="2"/>
      </rPr>
      <t xml:space="preserve"> </t>
    </r>
  </si>
  <si>
    <t>Total Price for Quantity  of</t>
  </si>
  <si>
    <t>ok per jb</t>
  </si>
  <si>
    <t>Automatic - Tasco (1 hr), Continuous - Walchem (4.5 hrs including wiring to maintain panel</t>
  </si>
  <si>
    <t>good up to 250 PSI</t>
  </si>
  <si>
    <t>good for any PSI</t>
  </si>
  <si>
    <t>Surface Blowndown Valve</t>
  </si>
  <si>
    <t>Main &amp; Pilot Change</t>
  </si>
  <si>
    <t>Dual Fuel</t>
  </si>
  <si>
    <t>Bottom Blowdown Valves</t>
  </si>
  <si>
    <t>Steam Outlet Spool Pieces</t>
  </si>
  <si>
    <t>*AKA "Main Steam Header"</t>
  </si>
  <si>
    <t>ASME constructed spool pieces. Units will ship loose with ASME data sheets. Minimum length of larger spools will exceed 18". 2 man hours on average.</t>
  </si>
  <si>
    <t>Do you want the surface blow down and bottom blow down manifolded together?</t>
  </si>
  <si>
    <t>Gas Inlet Pressure</t>
  </si>
  <si>
    <t>Motor Voltage</t>
  </si>
  <si>
    <t>Surface Blowdown</t>
  </si>
  <si>
    <t xml:space="preserve">Motor </t>
  </si>
  <si>
    <t>Hi Water Alarm</t>
  </si>
  <si>
    <t>Fuse Disconnect</t>
  </si>
  <si>
    <t>Protocol</t>
  </si>
  <si>
    <t>State</t>
  </si>
  <si>
    <t>Voltage</t>
  </si>
  <si>
    <t>2 is required but price is for each</t>
  </si>
  <si>
    <t>Bottom Blowndown Valve</t>
  </si>
  <si>
    <t>Natural</t>
  </si>
  <si>
    <t>Size Steam Outlet Valve</t>
  </si>
  <si>
    <t>first number is Steam Oulet outlet size</t>
  </si>
  <si>
    <t>High pressure steam boilers should have two blowdown valves (one quick &amp; one slow opening).  Low pressure (15 PSI)steam boilers should have at least one slow opening valve.  Price includes installation. 4000A good for 250 PSI. 325U good for 300 PSI. 1.5 hr labor / valve</t>
  </si>
  <si>
    <t>Siemens - Gas</t>
  </si>
  <si>
    <t>size based on output</t>
  </si>
  <si>
    <t>Steam Outlet Size</t>
  </si>
  <si>
    <t>QUESTIONS</t>
  </si>
  <si>
    <t>Steam lbs per Hour</t>
  </si>
  <si>
    <t xml:space="preserve">below - find Steam lbs per hour on NIBCO sheet to find valve size </t>
  </si>
  <si>
    <t>Do you want prepiped blow down maifold?</t>
  </si>
  <si>
    <t>Misc. Charges by Rep to Customer</t>
  </si>
  <si>
    <t xml:space="preserve"> Total Misc Charges by Rep</t>
  </si>
  <si>
    <t>Start Up</t>
  </si>
  <si>
    <t>Freight</t>
  </si>
  <si>
    <t>Etc.</t>
  </si>
  <si>
    <t>Subtotal Accessories</t>
  </si>
  <si>
    <t>Current Pricing Adder for Base &amp; Accessories</t>
  </si>
  <si>
    <t>Gas Surcharge</t>
  </si>
  <si>
    <t>Gas Surcharge for Testing</t>
  </si>
  <si>
    <t>Prepiped Blow Down Mainfold</t>
  </si>
  <si>
    <t>STEAM POUNDS PER HOUR</t>
  </si>
  <si>
    <t>Added</t>
  </si>
  <si>
    <t>use 2 3x3 straight spools then, use price for 4x4</t>
  </si>
  <si>
    <t>OPERATING PRESSURE</t>
  </si>
  <si>
    <t>Current Order</t>
  </si>
  <si>
    <t>Valve Size</t>
  </si>
  <si>
    <t>Saturated Steam Gage Pressure</t>
  </si>
  <si>
    <t>SVF - Lbs / Hr</t>
  </si>
  <si>
    <t>Valve Selection</t>
  </si>
  <si>
    <t>SVF-LBs/hr</t>
  </si>
  <si>
    <t>HP&amp;Pressure</t>
  </si>
  <si>
    <t>size</t>
  </si>
  <si>
    <t>size2</t>
  </si>
  <si>
    <t>Indexing</t>
  </si>
  <si>
    <t>ActiveSheet.Unprotect "pay"</t>
  </si>
  <si>
    <t>End Sub</t>
  </si>
  <si>
    <t>Sellers</t>
  </si>
  <si>
    <t>consult factory</t>
  </si>
  <si>
    <t>Would you like Low NOx (&lt;30 ppm)</t>
  </si>
  <si>
    <t>Low Nox &lt;30ppm</t>
  </si>
  <si>
    <t xml:space="preserve">Low NOx </t>
  </si>
  <si>
    <t>High Pressure Construction</t>
  </si>
  <si>
    <t xml:space="preserve"> PSI Adder</t>
  </si>
  <si>
    <t>Anna M</t>
  </si>
  <si>
    <t>Test2</t>
  </si>
  <si>
    <t>Expensed Material Surcharge (3.0%)</t>
  </si>
  <si>
    <t>Inbound Freight Surcharge (3.5%)</t>
  </si>
  <si>
    <t>Modulating and 3-valve bypass</t>
  </si>
  <si>
    <t>Now included with Modulating valve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</si>
</sst>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5" formatCode="&quot;$&quot;#,##0_);\(&quot;$&quot;#,##0\)"/>
    <numFmt numFmtId="6" formatCode="&quot;$&quot;#,##0_);[Red]\(&quot;$&quot;#,##0\)"/>
    <numFmt numFmtId="7" formatCode="&quot;$&quot;#,##0.00_);\(&quot;$&quot;#,##0.00\)"/>
    <numFmt numFmtId="44" formatCode="_(&quot;$&quot;* #,##0.00_);_(&quot;$&quot;* \(#,##0.00\);_(&quot;$&quot;* &quot;-&quot;??_);_(@_)"/>
    <numFmt numFmtId="43" formatCode="_(* #,##0.00_);_(* \(#,##0.00\);_(* &quot;-&quot;??_);_(@_)"/>
    <numFmt numFmtId="164" formatCode="&quot;$&quot;#,##0\ ;\(&quot;$&quot;#,##0\)"/>
    <numFmt numFmtId="165" formatCode="&quot;$&quot;#,##0"/>
    <numFmt numFmtId="166" formatCode="&quot;$&quot;#,##0;[Red]&quot;$&quot;#,##0"/>
    <numFmt numFmtId="167" formatCode="_(&quot;$&quot;* #,##0_);_(&quot;$&quot;* \(#,##0\);_(&quot;$&quot;* &quot;-&quot;??_);_(@_)"/>
    <numFmt numFmtId="168" formatCode="&quot;$&quot;#,##0.0_);[Red]\(&quot;$&quot;#,##0.0\)"/>
    <numFmt numFmtId="169" formatCode="&quot;$&quot;#,##0.00"/>
    <numFmt numFmtId="170" formatCode="0.0"/>
    <numFmt numFmtId="171" formatCode="_(* #,##0_);_(* \(#,##0\);_(* &quot;-&quot;??_);_(@_)"/>
  </numFmts>
  <fonts count="51" x14ac:knownFonts="1">
    <font>
      <sz val="11"/>
      <color theme="1"/>
      <name val="Aptos Narrow"/>
      <family val="2"/>
      <scheme val="minor"/>
    </font>
    <font>
      <b/>
      <sz val="11"/>
      <color theme="1"/>
      <name val="Aptos Narrow"/>
      <family val="2"/>
      <scheme val="minor"/>
    </font>
    <font>
      <sz val="20"/>
      <color theme="1"/>
      <name val="Aptos Narrow"/>
      <family val="2"/>
      <scheme val="minor"/>
    </font>
    <font>
      <b/>
      <u/>
      <sz val="11"/>
      <color theme="1"/>
      <name val="Aptos Narrow"/>
      <family val="2"/>
      <scheme val="minor"/>
    </font>
    <font>
      <sz val="10"/>
      <color theme="1"/>
      <name val="Arial"/>
      <family val="2"/>
    </font>
    <font>
      <b/>
      <i/>
      <sz val="24"/>
      <name val="Arial"/>
      <family val="2"/>
    </font>
    <font>
      <b/>
      <sz val="12"/>
      <name val="Arial"/>
      <family val="2"/>
    </font>
    <font>
      <b/>
      <sz val="14"/>
      <name val="Arial"/>
      <family val="2"/>
    </font>
    <font>
      <b/>
      <sz val="18"/>
      <color theme="0"/>
      <name val="Arial"/>
      <family val="2"/>
    </font>
    <font>
      <b/>
      <sz val="14"/>
      <color theme="0" tint="-4.9989318521683403E-2"/>
      <name val="Arial"/>
      <family val="2"/>
    </font>
    <font>
      <sz val="14"/>
      <name val="Arial"/>
      <family val="2"/>
    </font>
    <font>
      <b/>
      <sz val="12"/>
      <color theme="0" tint="-4.9989318521683403E-2"/>
      <name val="Arial"/>
      <family val="2"/>
    </font>
    <font>
      <sz val="12"/>
      <name val="Arial"/>
      <family val="2"/>
    </font>
    <font>
      <b/>
      <sz val="28"/>
      <name val="Vladimir Script"/>
      <family val="4"/>
    </font>
    <font>
      <sz val="8"/>
      <name val="Arial"/>
      <family val="2"/>
    </font>
    <font>
      <b/>
      <sz val="8"/>
      <name val="Arial"/>
      <family val="2"/>
    </font>
    <font>
      <b/>
      <i/>
      <sz val="20"/>
      <name val="Arial"/>
      <family val="2"/>
    </font>
    <font>
      <sz val="11"/>
      <color theme="1"/>
      <name val="Aptos Narrow"/>
      <family val="2"/>
      <scheme val="minor"/>
    </font>
    <font>
      <b/>
      <sz val="10"/>
      <name val="Arial"/>
      <family val="2"/>
    </font>
    <font>
      <u/>
      <sz val="11"/>
      <color theme="1"/>
      <name val="Aptos Narrow"/>
      <family val="2"/>
      <scheme val="minor"/>
    </font>
    <font>
      <sz val="14"/>
      <name val="Calibri"/>
      <family val="2"/>
    </font>
    <font>
      <sz val="11"/>
      <color theme="1"/>
      <name val="Calibri"/>
      <family val="2"/>
    </font>
    <font>
      <b/>
      <sz val="14"/>
      <name val="Calibri"/>
      <family val="2"/>
    </font>
    <font>
      <sz val="14"/>
      <color theme="1"/>
      <name val="Calibri"/>
      <family val="2"/>
    </font>
    <font>
      <b/>
      <sz val="11"/>
      <color theme="1"/>
      <name val="Calibri"/>
      <family val="2"/>
    </font>
    <font>
      <sz val="12"/>
      <color theme="1"/>
      <name val="Calibri"/>
      <family val="2"/>
    </font>
    <font>
      <b/>
      <sz val="12"/>
      <name val="Calibri"/>
      <family val="2"/>
    </font>
    <font>
      <sz val="11"/>
      <color rgb="FF000000"/>
      <name val="Segoe UI"/>
      <family val="2"/>
    </font>
    <font>
      <sz val="9"/>
      <name val="Arial"/>
      <family val="2"/>
    </font>
    <font>
      <sz val="9"/>
      <color indexed="8"/>
      <name val="Arial"/>
      <family val="2"/>
    </font>
    <font>
      <sz val="10"/>
      <name val="Arial"/>
      <family val="2"/>
    </font>
    <font>
      <sz val="11"/>
      <color rgb="FF000000"/>
      <name val="Aptos Narrow"/>
      <family val="2"/>
    </font>
    <font>
      <b/>
      <sz val="14"/>
      <name val="Aptos Narrow"/>
      <family val="2"/>
      <scheme val="minor"/>
    </font>
    <font>
      <sz val="10"/>
      <name val="Aptos Narrow"/>
      <family val="2"/>
      <scheme val="minor"/>
    </font>
    <font>
      <b/>
      <sz val="10"/>
      <name val="Aptos Narrow"/>
      <family val="2"/>
      <scheme val="minor"/>
    </font>
    <font>
      <b/>
      <vertAlign val="subscript"/>
      <sz val="14"/>
      <name val="Aptos Narrow"/>
      <family val="2"/>
      <scheme val="minor"/>
    </font>
    <font>
      <sz val="10"/>
      <color theme="1"/>
      <name val="Aptos Narrow"/>
      <family val="2"/>
      <scheme val="minor"/>
    </font>
    <font>
      <b/>
      <sz val="14"/>
      <color theme="1"/>
      <name val="Aptos Narrow"/>
      <family val="2"/>
      <scheme val="minor"/>
    </font>
    <font>
      <b/>
      <u/>
      <sz val="12"/>
      <name val="Aptos Narrow"/>
      <family val="2"/>
      <scheme val="minor"/>
    </font>
    <font>
      <sz val="11"/>
      <name val="Aptos Narrow"/>
      <family val="2"/>
      <scheme val="minor"/>
    </font>
    <font>
      <sz val="11"/>
      <color rgb="FF9C5700"/>
      <name val="Aptos Narrow"/>
      <family val="2"/>
      <scheme val="minor"/>
    </font>
    <font>
      <sz val="8"/>
      <name val="Aptos Narrow"/>
      <family val="2"/>
      <scheme val="minor"/>
    </font>
    <font>
      <sz val="12"/>
      <color rgb="FF001D35"/>
      <name val="Courier New"/>
      <family val="3"/>
    </font>
    <font>
      <sz val="11"/>
      <color theme="1"/>
      <name val="Aptos Narrow"/>
      <family val="2"/>
    </font>
    <font>
      <sz val="11"/>
      <name val="Aptos Narrow"/>
      <family val="2"/>
    </font>
    <font>
      <b/>
      <sz val="12"/>
      <name val="Aptos Narrow"/>
      <family val="2"/>
      <scheme val="minor"/>
    </font>
    <font>
      <b/>
      <sz val="11"/>
      <color rgb="FF000000"/>
      <name val="Segoe UI"/>
      <family val="2"/>
    </font>
    <font>
      <b/>
      <sz val="12"/>
      <color theme="1"/>
      <name val="Calibri"/>
      <family val="2"/>
    </font>
    <font>
      <b/>
      <sz val="11"/>
      <name val="Arial"/>
      <family val="2"/>
    </font>
    <font>
      <b/>
      <sz val="14"/>
      <color rgb="FF000000"/>
      <name val="Segoe UI"/>
      <family val="2"/>
    </font>
    <font>
      <sz val="14"/>
      <color theme="1"/>
      <name val="Aptos Narrow"/>
      <family val="2"/>
      <scheme val="minor"/>
    </font>
  </fonts>
  <fills count="14">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
      <patternFill patternType="solid">
        <fgColor rgb="FFC61C1C"/>
        <bgColor indexed="64"/>
      </patternFill>
    </fill>
    <fill>
      <patternFill patternType="solid">
        <fgColor theme="9" tint="0.59999389629810485"/>
        <bgColor indexed="64"/>
      </patternFill>
    </fill>
    <fill>
      <patternFill patternType="solid">
        <fgColor theme="1"/>
        <bgColor indexed="64"/>
      </patternFill>
    </fill>
    <fill>
      <patternFill patternType="solid">
        <fgColor theme="0" tint="-0.14999847407452621"/>
        <bgColor indexed="64"/>
      </patternFill>
    </fill>
    <fill>
      <patternFill patternType="solid">
        <fgColor rgb="FFFFEB9C"/>
      </patternFill>
    </fill>
    <fill>
      <patternFill patternType="solid">
        <fgColor theme="5" tint="0.79998168889431442"/>
        <bgColor indexed="65"/>
      </patternFill>
    </fill>
    <fill>
      <patternFill patternType="solid">
        <fgColor theme="4" tint="0.79998168889431442"/>
        <bgColor indexed="64"/>
      </patternFill>
    </fill>
    <fill>
      <patternFill patternType="solid">
        <fgColor theme="5" tint="0.79998168889431442"/>
        <bgColor indexed="64"/>
      </patternFill>
    </fill>
    <fill>
      <patternFill patternType="solid">
        <fgColor rgb="FF92D050"/>
        <bgColor indexed="64"/>
      </patternFill>
    </fill>
  </fills>
  <borders count="54">
    <border>
      <left/>
      <right/>
      <top/>
      <bottom/>
      <diagonal/>
    </border>
    <border>
      <left style="thick">
        <color auto="1"/>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right/>
      <top style="thick">
        <color auto="1"/>
      </top>
      <bottom/>
      <diagonal/>
    </border>
    <border>
      <left style="medium">
        <color rgb="FFCCCCCC"/>
      </left>
      <right style="medium">
        <color rgb="FFCCCCCC"/>
      </right>
      <top style="medium">
        <color rgb="FFCCCCCC"/>
      </top>
      <bottom style="medium">
        <color rgb="FFCCCCCC"/>
      </bottom>
      <diagonal/>
    </border>
    <border>
      <left/>
      <right/>
      <top style="thin">
        <color indexed="64"/>
      </top>
      <bottom/>
      <diagonal/>
    </border>
    <border>
      <left/>
      <right/>
      <top/>
      <bottom style="double">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
      <left style="double">
        <color indexed="64"/>
      </left>
      <right/>
      <top/>
      <bottom/>
      <diagonal/>
    </border>
    <border>
      <left style="double">
        <color indexed="64"/>
      </left>
      <right/>
      <top style="thin">
        <color indexed="64"/>
      </top>
      <bottom/>
      <diagonal/>
    </border>
    <border>
      <left/>
      <right/>
      <top style="double">
        <color indexed="64"/>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style="thin">
        <color indexed="64"/>
      </top>
      <bottom/>
      <diagonal/>
    </border>
    <border>
      <left/>
      <right style="medium">
        <color auto="1"/>
      </right>
      <top style="thin">
        <color indexed="64"/>
      </top>
      <bottom/>
      <diagonal/>
    </border>
    <border>
      <left style="medium">
        <color auto="1"/>
      </left>
      <right/>
      <top/>
      <bottom style="double">
        <color indexed="64"/>
      </bottom>
      <diagonal/>
    </border>
    <border>
      <left/>
      <right style="medium">
        <color auto="1"/>
      </right>
      <top/>
      <bottom style="double">
        <color indexed="64"/>
      </bottom>
      <diagonal/>
    </border>
    <border>
      <left/>
      <right style="medium">
        <color auto="1"/>
      </right>
      <top style="double">
        <color indexed="64"/>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double">
        <color indexed="64"/>
      </top>
      <bottom/>
      <diagonal/>
    </border>
    <border>
      <left/>
      <right style="double">
        <color auto="1"/>
      </right>
      <top/>
      <bottom/>
      <diagonal/>
    </border>
    <border>
      <left/>
      <right style="double">
        <color auto="1"/>
      </right>
      <top/>
      <bottom style="medium">
        <color auto="1"/>
      </bottom>
      <diagonal/>
    </border>
    <border>
      <left style="double">
        <color auto="1"/>
      </left>
      <right/>
      <top/>
      <bottom style="medium">
        <color auto="1"/>
      </bottom>
      <diagonal/>
    </border>
    <border>
      <left style="medium">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style="thick">
        <color theme="9" tint="-0.24994659260841701"/>
      </left>
      <right style="thick">
        <color theme="9" tint="-0.24994659260841701"/>
      </right>
      <top style="thick">
        <color theme="9" tint="-0.24994659260841701"/>
      </top>
      <bottom style="thick">
        <color theme="9" tint="-0.24994659260841701"/>
      </bottom>
      <diagonal/>
    </border>
    <border>
      <left/>
      <right style="thick">
        <color auto="1"/>
      </right>
      <top style="thick">
        <color theme="9" tint="-0.24994659260841701"/>
      </top>
      <bottom style="thick">
        <color theme="9" tint="-0.24994659260841701"/>
      </bottom>
      <diagonal/>
    </border>
    <border>
      <left style="thin">
        <color auto="1"/>
      </left>
      <right style="thin">
        <color auto="1"/>
      </right>
      <top style="thin">
        <color auto="1"/>
      </top>
      <bottom style="thin">
        <color auto="1"/>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ck">
        <color auto="1"/>
      </right>
      <top/>
      <bottom style="thick">
        <color theme="9" tint="-0.24994659260841701"/>
      </bottom>
      <diagonal/>
    </border>
    <border>
      <left style="medium">
        <color theme="9" tint="-0.24994659260841701"/>
      </left>
      <right style="medium">
        <color theme="9" tint="-0.24994659260841701"/>
      </right>
      <top style="medium">
        <color theme="9" tint="-0.24994659260841701"/>
      </top>
      <bottom style="medium">
        <color theme="9" tint="-0.24994659260841701"/>
      </bottom>
      <diagonal/>
    </border>
    <border>
      <left/>
      <right/>
      <top style="thick">
        <color theme="9" tint="-0.24994659260841701"/>
      </top>
      <bottom style="thick">
        <color theme="9" tint="-0.24994659260841701"/>
      </bottom>
      <diagonal/>
    </border>
    <border>
      <left/>
      <right style="thick">
        <color auto="1"/>
      </right>
      <top style="thick">
        <color theme="9" tint="-0.24994659260841701"/>
      </top>
      <bottom/>
      <diagonal/>
    </border>
    <border>
      <left/>
      <right/>
      <top/>
      <bottom style="thick">
        <color theme="9" tint="-0.24994659260841701"/>
      </bottom>
      <diagonal/>
    </border>
  </borders>
  <cellStyleXfs count="7">
    <xf numFmtId="0" fontId="0" fillId="0" borderId="0"/>
    <xf numFmtId="44" fontId="17" fillId="0" borderId="0" applyFont="0" applyFill="0" applyBorder="0" applyAlignment="0" applyProtection="0"/>
    <xf numFmtId="0" fontId="30" fillId="0" borderId="0"/>
    <xf numFmtId="44" fontId="30" fillId="0" borderId="0" applyFont="0" applyFill="0" applyBorder="0" applyAlignment="0" applyProtection="0"/>
    <xf numFmtId="0" fontId="40" fillId="9" borderId="0" applyNumberFormat="0" applyBorder="0" applyAlignment="0" applyProtection="0"/>
    <xf numFmtId="0" fontId="17" fillId="10" borderId="0" applyNumberFormat="0" applyBorder="0" applyAlignment="0" applyProtection="0"/>
    <xf numFmtId="43" fontId="17" fillId="0" borderId="0" applyFont="0" applyFill="0" applyBorder="0" applyAlignment="0" applyProtection="0"/>
  </cellStyleXfs>
  <cellXfs count="351">
    <xf numFmtId="0" fontId="0" fillId="0" borderId="0" xfId="0"/>
    <xf numFmtId="0" fontId="0" fillId="0" borderId="0" xfId="0" applyAlignment="1">
      <alignment horizontal="right"/>
    </xf>
    <xf numFmtId="0" fontId="1" fillId="0" borderId="0" xfId="0" applyFont="1"/>
    <xf numFmtId="0" fontId="0" fillId="2" borderId="0" xfId="0" applyFill="1"/>
    <xf numFmtId="0" fontId="0" fillId="3" borderId="1" xfId="0" applyFill="1" applyBorder="1"/>
    <xf numFmtId="0" fontId="0" fillId="3" borderId="2" xfId="0" applyFill="1" applyBorder="1" applyAlignment="1">
      <alignment horizontal="right"/>
    </xf>
    <xf numFmtId="0" fontId="0" fillId="3" borderId="3" xfId="0" applyFill="1" applyBorder="1"/>
    <xf numFmtId="0" fontId="0" fillId="3" borderId="4" xfId="0" applyFill="1" applyBorder="1" applyAlignment="1">
      <alignment horizontal="right"/>
    </xf>
    <xf numFmtId="0" fontId="1" fillId="3" borderId="3" xfId="0" applyFont="1" applyFill="1" applyBorder="1"/>
    <xf numFmtId="0" fontId="1" fillId="3" borderId="4" xfId="0" applyFont="1" applyFill="1" applyBorder="1" applyAlignment="1">
      <alignment horizontal="right"/>
    </xf>
    <xf numFmtId="0" fontId="3" fillId="3" borderId="3" xfId="0" applyFont="1" applyFill="1" applyBorder="1"/>
    <xf numFmtId="0" fontId="0" fillId="3" borderId="5" xfId="0" applyFill="1" applyBorder="1"/>
    <xf numFmtId="0" fontId="0" fillId="3" borderId="0" xfId="0" applyFill="1"/>
    <xf numFmtId="0" fontId="1" fillId="3" borderId="0" xfId="0" applyFont="1" applyFill="1"/>
    <xf numFmtId="0" fontId="3" fillId="3" borderId="0" xfId="0" applyFont="1" applyFill="1"/>
    <xf numFmtId="0" fontId="4" fillId="0" borderId="6" xfId="0" applyFont="1" applyBorder="1" applyAlignment="1">
      <alignment wrapText="1"/>
    </xf>
    <xf numFmtId="0" fontId="0" fillId="0" borderId="7" xfId="0" applyBorder="1"/>
    <xf numFmtId="0" fontId="7" fillId="0" borderId="7" xfId="0" applyFont="1" applyBorder="1"/>
    <xf numFmtId="0" fontId="7" fillId="0" borderId="7" xfId="0" applyFont="1" applyBorder="1" applyProtection="1">
      <protection locked="0"/>
    </xf>
    <xf numFmtId="0" fontId="7" fillId="0" borderId="13" xfId="0" applyFont="1" applyBorder="1"/>
    <xf numFmtId="0" fontId="7" fillId="0" borderId="12" xfId="0" applyFont="1" applyBorder="1"/>
    <xf numFmtId="0" fontId="7" fillId="0" borderId="14" xfId="0" applyFont="1" applyBorder="1"/>
    <xf numFmtId="0" fontId="10" fillId="0" borderId="13" xfId="0" applyFont="1" applyBorder="1"/>
    <xf numFmtId="164" fontId="7" fillId="0" borderId="7" xfId="0" applyNumberFormat="1" applyFont="1" applyBorder="1"/>
    <xf numFmtId="0" fontId="12" fillId="6" borderId="13" xfId="0" applyFont="1" applyFill="1" applyBorder="1"/>
    <xf numFmtId="0" fontId="6" fillId="0" borderId="13" xfId="0" applyFont="1" applyBorder="1"/>
    <xf numFmtId="0" fontId="7" fillId="7" borderId="13" xfId="0" applyFont="1" applyFill="1" applyBorder="1"/>
    <xf numFmtId="0" fontId="7" fillId="4" borderId="13" xfId="0" quotePrefix="1" applyFont="1" applyFill="1" applyBorder="1" applyAlignment="1">
      <alignment horizontal="left"/>
    </xf>
    <xf numFmtId="0" fontId="0" fillId="0" borderId="15" xfId="0" applyBorder="1"/>
    <xf numFmtId="0" fontId="7" fillId="0" borderId="15" xfId="0" applyFont="1" applyBorder="1"/>
    <xf numFmtId="0" fontId="0" fillId="0" borderId="13" xfId="0" applyBorder="1"/>
    <xf numFmtId="0" fontId="6" fillId="0" borderId="0" xfId="0" applyFont="1"/>
    <xf numFmtId="0" fontId="0" fillId="0" borderId="20" xfId="0" applyBorder="1"/>
    <xf numFmtId="0" fontId="0" fillId="0" borderId="22" xfId="0" applyBorder="1"/>
    <xf numFmtId="0" fontId="0" fillId="0" borderId="21" xfId="0" applyBorder="1"/>
    <xf numFmtId="0" fontId="0" fillId="0" borderId="19" xfId="0" applyBorder="1"/>
    <xf numFmtId="0" fontId="7" fillId="0" borderId="19" xfId="0" applyFont="1" applyBorder="1"/>
    <xf numFmtId="0" fontId="7" fillId="0" borderId="0" xfId="0" applyFont="1"/>
    <xf numFmtId="0" fontId="0" fillId="4" borderId="0" xfId="0" applyFill="1"/>
    <xf numFmtId="0" fontId="7" fillId="0" borderId="21" xfId="0" applyFont="1" applyBorder="1"/>
    <xf numFmtId="0" fontId="7" fillId="0" borderId="0" xfId="0" applyFont="1" applyProtection="1">
      <protection locked="0"/>
    </xf>
    <xf numFmtId="164" fontId="7" fillId="0" borderId="0" xfId="0" applyNumberFormat="1" applyFont="1"/>
    <xf numFmtId="0" fontId="7" fillId="0" borderId="19" xfId="0" quotePrefix="1" applyFont="1" applyBorder="1" applyAlignment="1" applyProtection="1">
      <alignment horizontal="left"/>
      <protection locked="0"/>
    </xf>
    <xf numFmtId="0" fontId="6" fillId="0" borderId="0" xfId="0" quotePrefix="1" applyFont="1" applyAlignment="1">
      <alignment horizontal="left"/>
    </xf>
    <xf numFmtId="0" fontId="7" fillId="6" borderId="0" xfId="0" applyFont="1" applyFill="1"/>
    <xf numFmtId="15" fontId="7" fillId="0" borderId="0" xfId="0" applyNumberFormat="1" applyFont="1"/>
    <xf numFmtId="0" fontId="7" fillId="7" borderId="0" xfId="0" applyFont="1" applyFill="1"/>
    <xf numFmtId="0" fontId="0" fillId="7" borderId="0" xfId="0" applyFill="1"/>
    <xf numFmtId="7" fontId="0" fillId="7" borderId="20" xfId="0" applyNumberFormat="1" applyFill="1" applyBorder="1"/>
    <xf numFmtId="0" fontId="7" fillId="4" borderId="0" xfId="0" applyFont="1" applyFill="1"/>
    <xf numFmtId="164" fontId="7" fillId="0" borderId="20" xfId="0" applyNumberFormat="1" applyFont="1" applyBorder="1"/>
    <xf numFmtId="164" fontId="7" fillId="7" borderId="20" xfId="0" applyNumberFormat="1" applyFont="1" applyFill="1" applyBorder="1"/>
    <xf numFmtId="164" fontId="7" fillId="0" borderId="25" xfId="0" applyNumberFormat="1" applyFont="1" applyBorder="1"/>
    <xf numFmtId="0" fontId="7" fillId="0" borderId="20" xfId="0" applyFont="1" applyBorder="1"/>
    <xf numFmtId="0" fontId="0" fillId="0" borderId="26" xfId="0" applyBorder="1"/>
    <xf numFmtId="0" fontId="0" fillId="0" borderId="27" xfId="0" applyBorder="1"/>
    <xf numFmtId="0" fontId="7" fillId="0" borderId="27" xfId="0" applyFont="1" applyBorder="1"/>
    <xf numFmtId="3" fontId="7" fillId="0" borderId="28" xfId="0" applyNumberFormat="1" applyFont="1" applyBorder="1"/>
    <xf numFmtId="0" fontId="4" fillId="3" borderId="19" xfId="0" applyFont="1" applyFill="1" applyBorder="1"/>
    <xf numFmtId="0" fontId="4" fillId="3" borderId="20" xfId="0" applyFont="1" applyFill="1" applyBorder="1"/>
    <xf numFmtId="0" fontId="18" fillId="3" borderId="19" xfId="0" applyFont="1" applyFill="1" applyBorder="1" applyAlignment="1">
      <alignment horizontal="right"/>
    </xf>
    <xf numFmtId="0" fontId="18" fillId="3" borderId="19" xfId="0" quotePrefix="1" applyFont="1" applyFill="1" applyBorder="1" applyAlignment="1">
      <alignment horizontal="right"/>
    </xf>
    <xf numFmtId="0" fontId="4" fillId="3" borderId="19" xfId="0" applyFont="1" applyFill="1" applyBorder="1" applyAlignment="1">
      <alignment horizontal="right"/>
    </xf>
    <xf numFmtId="0" fontId="18" fillId="3" borderId="20" xfId="0" applyFont="1" applyFill="1" applyBorder="1" applyAlignment="1">
      <alignment horizontal="center"/>
    </xf>
    <xf numFmtId="0" fontId="18" fillId="3" borderId="19" xfId="0" applyFont="1" applyFill="1" applyBorder="1"/>
    <xf numFmtId="0" fontId="7" fillId="3" borderId="0" xfId="0" applyFont="1" applyFill="1"/>
    <xf numFmtId="0" fontId="18" fillId="3" borderId="0" xfId="0" applyFont="1" applyFill="1"/>
    <xf numFmtId="0" fontId="18" fillId="3" borderId="0" xfId="0" applyFont="1" applyFill="1" applyAlignment="1">
      <alignment horizontal="center"/>
    </xf>
    <xf numFmtId="0" fontId="0" fillId="3" borderId="19" xfId="0" applyFill="1" applyBorder="1"/>
    <xf numFmtId="0" fontId="0" fillId="3" borderId="20" xfId="0" applyFill="1" applyBorder="1"/>
    <xf numFmtId="0" fontId="4" fillId="3" borderId="0" xfId="0" applyFont="1" applyFill="1"/>
    <xf numFmtId="0" fontId="18" fillId="3" borderId="0" xfId="0" quotePrefix="1" applyFont="1" applyFill="1" applyAlignment="1">
      <alignment horizontal="right"/>
    </xf>
    <xf numFmtId="49" fontId="18" fillId="3" borderId="0" xfId="0" quotePrefix="1" applyNumberFormat="1" applyFont="1" applyFill="1" applyAlignment="1">
      <alignment horizontal="right"/>
    </xf>
    <xf numFmtId="49" fontId="18" fillId="3" borderId="0" xfId="0" applyNumberFormat="1" applyFont="1" applyFill="1"/>
    <xf numFmtId="49" fontId="18" fillId="3" borderId="0" xfId="0" applyNumberFormat="1" applyFont="1" applyFill="1" applyAlignment="1">
      <alignment horizontal="right"/>
    </xf>
    <xf numFmtId="0" fontId="10" fillId="3" borderId="0" xfId="0" applyFont="1" applyFill="1"/>
    <xf numFmtId="0" fontId="6" fillId="3" borderId="29" xfId="0" applyFont="1" applyFill="1" applyBorder="1"/>
    <xf numFmtId="0" fontId="0" fillId="3" borderId="15" xfId="0" applyFill="1" applyBorder="1"/>
    <xf numFmtId="0" fontId="0" fillId="3" borderId="25" xfId="0" applyFill="1" applyBorder="1"/>
    <xf numFmtId="0" fontId="6" fillId="3" borderId="19" xfId="0" applyFont="1" applyFill="1" applyBorder="1" applyProtection="1">
      <protection locked="0"/>
    </xf>
    <xf numFmtId="0" fontId="6" fillId="3" borderId="19" xfId="0" applyFont="1" applyFill="1" applyBorder="1"/>
    <xf numFmtId="0" fontId="0" fillId="3" borderId="0" xfId="0" applyFill="1" applyAlignment="1">
      <alignment horizontal="center"/>
    </xf>
    <xf numFmtId="0" fontId="12" fillId="3" borderId="0" xfId="0" applyFont="1" applyFill="1"/>
    <xf numFmtId="0" fontId="6" fillId="3" borderId="0" xfId="0" applyFont="1" applyFill="1"/>
    <xf numFmtId="15" fontId="6" fillId="3" borderId="20" xfId="0" applyNumberFormat="1" applyFont="1" applyFill="1" applyBorder="1"/>
    <xf numFmtId="0" fontId="6" fillId="3" borderId="7" xfId="0" applyFont="1" applyFill="1" applyBorder="1" applyAlignment="1" applyProtection="1">
      <alignment horizontal="left"/>
      <protection locked="0"/>
    </xf>
    <xf numFmtId="0" fontId="6" fillId="3" borderId="7" xfId="0" applyFont="1" applyFill="1" applyBorder="1" applyProtection="1">
      <protection locked="0"/>
    </xf>
    <xf numFmtId="0" fontId="0" fillId="3" borderId="7" xfId="0" applyFill="1" applyBorder="1" applyProtection="1">
      <protection locked="0"/>
    </xf>
    <xf numFmtId="0" fontId="0" fillId="3" borderId="22" xfId="0" applyFill="1" applyBorder="1" applyProtection="1">
      <protection locked="0"/>
    </xf>
    <xf numFmtId="0" fontId="14" fillId="3" borderId="0" xfId="0" applyFont="1" applyFill="1"/>
    <xf numFmtId="0" fontId="15" fillId="3" borderId="0" xfId="0" applyFont="1" applyFill="1"/>
    <xf numFmtId="0" fontId="16" fillId="3" borderId="0" xfId="0" applyFont="1" applyFill="1"/>
    <xf numFmtId="0" fontId="0" fillId="3" borderId="26" xfId="0" applyFill="1" applyBorder="1"/>
    <xf numFmtId="0" fontId="0" fillId="3" borderId="27" xfId="0" applyFill="1" applyBorder="1"/>
    <xf numFmtId="0" fontId="0" fillId="3" borderId="28" xfId="0" applyFill="1" applyBorder="1"/>
    <xf numFmtId="0" fontId="6" fillId="4" borderId="11" xfId="0" applyFont="1" applyFill="1" applyBorder="1"/>
    <xf numFmtId="0" fontId="11" fillId="4" borderId="7" xfId="0" applyFont="1" applyFill="1" applyBorder="1"/>
    <xf numFmtId="0" fontId="6" fillId="4" borderId="12" xfId="0" applyFont="1" applyFill="1" applyBorder="1"/>
    <xf numFmtId="0" fontId="11" fillId="4" borderId="0" xfId="0" applyFont="1" applyFill="1"/>
    <xf numFmtId="0" fontId="6" fillId="4" borderId="10" xfId="0" applyFont="1" applyFill="1" applyBorder="1"/>
    <xf numFmtId="0" fontId="11" fillId="4" borderId="9" xfId="0" applyFont="1" applyFill="1" applyBorder="1"/>
    <xf numFmtId="0" fontId="6" fillId="3" borderId="0" xfId="0" applyFont="1" applyFill="1" applyAlignment="1">
      <alignment horizontal="center"/>
    </xf>
    <xf numFmtId="0" fontId="19" fillId="0" borderId="0" xfId="0" applyFont="1"/>
    <xf numFmtId="0" fontId="20" fillId="3" borderId="19" xfId="0" applyFont="1" applyFill="1" applyBorder="1"/>
    <xf numFmtId="0" fontId="21" fillId="3" borderId="0" xfId="0" applyFont="1" applyFill="1"/>
    <xf numFmtId="0" fontId="22" fillId="3" borderId="19" xfId="0" applyFont="1" applyFill="1" applyBorder="1"/>
    <xf numFmtId="0" fontId="22" fillId="3" borderId="0" xfId="0" applyFont="1" applyFill="1"/>
    <xf numFmtId="0" fontId="20" fillId="3" borderId="0" xfId="0" applyFont="1" applyFill="1"/>
    <xf numFmtId="0" fontId="23" fillId="3" borderId="0" xfId="0" applyFont="1" applyFill="1"/>
    <xf numFmtId="0" fontId="23" fillId="3" borderId="0" xfId="0" quotePrefix="1" applyFont="1" applyFill="1"/>
    <xf numFmtId="0" fontId="21" fillId="3" borderId="19" xfId="0" applyFont="1" applyFill="1" applyBorder="1"/>
    <xf numFmtId="0" fontId="24" fillId="3" borderId="0" xfId="0" applyFont="1" applyFill="1"/>
    <xf numFmtId="0" fontId="24" fillId="3" borderId="20" xfId="0" applyFont="1" applyFill="1" applyBorder="1"/>
    <xf numFmtId="0" fontId="25" fillId="3" borderId="0" xfId="0" applyFont="1" applyFill="1"/>
    <xf numFmtId="0" fontId="25" fillId="3" borderId="20" xfId="0" applyFont="1" applyFill="1" applyBorder="1"/>
    <xf numFmtId="0" fontId="26" fillId="3" borderId="19" xfId="0" applyFont="1" applyFill="1" applyBorder="1"/>
    <xf numFmtId="0" fontId="26" fillId="3" borderId="0" xfId="0" applyFont="1" applyFill="1"/>
    <xf numFmtId="0" fontId="25" fillId="3" borderId="0" xfId="0" quotePrefix="1" applyFont="1" applyFill="1"/>
    <xf numFmtId="0" fontId="25" fillId="3" borderId="19" xfId="0" applyFont="1" applyFill="1" applyBorder="1"/>
    <xf numFmtId="0" fontId="27" fillId="0" borderId="0" xfId="0" applyFont="1" applyAlignment="1">
      <alignment horizontal="left" vertical="top" wrapText="1"/>
    </xf>
    <xf numFmtId="166" fontId="17" fillId="0" borderId="0" xfId="3" applyNumberFormat="1" applyFont="1" applyFill="1" applyBorder="1" applyAlignment="1">
      <alignment horizontal="center"/>
    </xf>
    <xf numFmtId="167" fontId="17" fillId="0" borderId="0" xfId="3" applyNumberFormat="1" applyFont="1" applyFill="1" applyBorder="1" applyAlignment="1">
      <alignment horizontal="center"/>
    </xf>
    <xf numFmtId="0" fontId="28" fillId="0" borderId="0" xfId="0" applyFont="1" applyAlignment="1">
      <alignment horizontal="center" vertical="center" wrapText="1"/>
    </xf>
    <xf numFmtId="0" fontId="28" fillId="0" borderId="0" xfId="0" applyFont="1"/>
    <xf numFmtId="0" fontId="29" fillId="0" borderId="0" xfId="0" applyFont="1" applyAlignment="1">
      <alignment horizontal="center" vertical="top" wrapText="1"/>
    </xf>
    <xf numFmtId="0" fontId="0" fillId="0" borderId="0" xfId="0" applyAlignment="1">
      <alignment horizontal="center" wrapText="1"/>
    </xf>
    <xf numFmtId="0" fontId="29" fillId="0" borderId="0" xfId="2" applyFont="1" applyAlignment="1">
      <alignment horizontal="center" vertical="top" wrapText="1"/>
    </xf>
    <xf numFmtId="166" fontId="29" fillId="0" borderId="0" xfId="2" applyNumberFormat="1" applyFont="1" applyAlignment="1">
      <alignment horizontal="center" vertical="top" wrapText="1"/>
    </xf>
    <xf numFmtId="6" fontId="29" fillId="0" borderId="0" xfId="0" applyNumberFormat="1" applyFont="1" applyAlignment="1">
      <alignment horizontal="center" vertical="top" wrapText="1"/>
    </xf>
    <xf numFmtId="166" fontId="28" fillId="0" borderId="0" xfId="0" applyNumberFormat="1" applyFont="1" applyAlignment="1">
      <alignment horizontal="center"/>
    </xf>
    <xf numFmtId="166" fontId="29" fillId="0" borderId="0" xfId="0" applyNumberFormat="1" applyFont="1" applyAlignment="1">
      <alignment horizontal="center" vertical="top" wrapText="1"/>
    </xf>
    <xf numFmtId="168" fontId="28" fillId="0" borderId="0" xfId="0" applyNumberFormat="1" applyFont="1"/>
    <xf numFmtId="0" fontId="28" fillId="0" borderId="0" xfId="0" applyFont="1" applyAlignment="1">
      <alignment horizontal="center"/>
    </xf>
    <xf numFmtId="0" fontId="28" fillId="0" borderId="0" xfId="0" applyFont="1" applyAlignment="1">
      <alignment horizontal="center" wrapText="1"/>
    </xf>
    <xf numFmtId="167" fontId="29" fillId="0" borderId="0" xfId="1" applyNumberFormat="1" applyFont="1" applyFill="1" applyBorder="1" applyAlignment="1">
      <alignment horizontal="center" vertical="top" wrapText="1"/>
    </xf>
    <xf numFmtId="167" fontId="28" fillId="0" borderId="0" xfId="1" applyNumberFormat="1" applyFont="1" applyFill="1" applyBorder="1" applyAlignment="1">
      <alignment horizontal="center"/>
    </xf>
    <xf numFmtId="167" fontId="28" fillId="0" borderId="0" xfId="1" applyNumberFormat="1" applyFont="1" applyFill="1" applyBorder="1" applyAlignment="1">
      <alignment horizontal="center" wrapText="1"/>
    </xf>
    <xf numFmtId="167" fontId="28" fillId="0" borderId="0" xfId="1" applyNumberFormat="1" applyFont="1" applyFill="1"/>
    <xf numFmtId="0" fontId="0" fillId="0" borderId="30" xfId="0" applyBorder="1"/>
    <xf numFmtId="0" fontId="0" fillId="0" borderId="31" xfId="0" applyBorder="1"/>
    <xf numFmtId="0" fontId="0" fillId="0" borderId="32" xfId="0" applyBorder="1"/>
    <xf numFmtId="167" fontId="0" fillId="0" borderId="0" xfId="1" applyNumberFormat="1" applyFont="1"/>
    <xf numFmtId="0" fontId="32" fillId="0" borderId="0" xfId="0" applyFont="1"/>
    <xf numFmtId="169" fontId="0" fillId="0" borderId="0" xfId="0" applyNumberFormat="1"/>
    <xf numFmtId="0" fontId="33" fillId="0" borderId="0" xfId="0" applyFont="1" applyAlignment="1">
      <alignment vertical="center"/>
    </xf>
    <xf numFmtId="0" fontId="0" fillId="0" borderId="0" xfId="0" applyAlignment="1">
      <alignment horizontal="center"/>
    </xf>
    <xf numFmtId="0" fontId="33" fillId="0" borderId="0" xfId="0" applyFont="1" applyAlignment="1">
      <alignment vertical="center" wrapText="1"/>
    </xf>
    <xf numFmtId="0" fontId="34" fillId="0" borderId="33" xfId="0" applyFont="1" applyBorder="1" applyAlignment="1">
      <alignment horizontal="center" vertical="center" wrapText="1"/>
    </xf>
    <xf numFmtId="165" fontId="34" fillId="0" borderId="34" xfId="0" applyNumberFormat="1" applyFont="1" applyBorder="1" applyAlignment="1">
      <alignment horizontal="center" vertical="center" wrapText="1"/>
    </xf>
    <xf numFmtId="49" fontId="0" fillId="0" borderId="19" xfId="0" applyNumberFormat="1" applyBorder="1" applyAlignment="1">
      <alignment horizontal="center" vertical="center"/>
    </xf>
    <xf numFmtId="6" fontId="0" fillId="0" borderId="20" xfId="1" applyNumberFormat="1" applyFont="1" applyBorder="1" applyAlignment="1">
      <alignment horizontal="center" vertical="center"/>
    </xf>
    <xf numFmtId="0" fontId="0" fillId="0" borderId="26" xfId="0" applyBorder="1" applyAlignment="1">
      <alignment horizontal="center" vertical="center"/>
    </xf>
    <xf numFmtId="6" fontId="0" fillId="0" borderId="28" xfId="1" applyNumberFormat="1" applyFont="1" applyBorder="1" applyAlignment="1">
      <alignment horizontal="center" vertical="center"/>
    </xf>
    <xf numFmtId="0" fontId="37" fillId="0" borderId="0" xfId="0" applyFont="1"/>
    <xf numFmtId="165" fontId="0" fillId="0" borderId="0" xfId="0" applyNumberFormat="1" applyAlignment="1">
      <alignment horizontal="center"/>
    </xf>
    <xf numFmtId="165" fontId="0" fillId="0" borderId="33" xfId="0" applyNumberFormat="1" applyBorder="1" applyAlignment="1">
      <alignment horizontal="center"/>
    </xf>
    <xf numFmtId="165" fontId="0" fillId="0" borderId="34" xfId="0" applyNumberFormat="1" applyBorder="1" applyAlignment="1">
      <alignment horizontal="center"/>
    </xf>
    <xf numFmtId="0" fontId="0" fillId="0" borderId="26" xfId="0" applyBorder="1" applyAlignment="1">
      <alignment horizontal="center" wrapText="1"/>
    </xf>
    <xf numFmtId="6" fontId="0" fillId="0" borderId="28" xfId="0" applyNumberFormat="1" applyBorder="1" applyAlignment="1">
      <alignment horizontal="center"/>
    </xf>
    <xf numFmtId="0" fontId="0" fillId="0" borderId="19" xfId="0" applyBorder="1" applyAlignment="1">
      <alignment horizontal="center"/>
    </xf>
    <xf numFmtId="167" fontId="0" fillId="0" borderId="0" xfId="1" applyNumberFormat="1" applyFont="1" applyFill="1"/>
    <xf numFmtId="0" fontId="0" fillId="0" borderId="0" xfId="0" quotePrefix="1"/>
    <xf numFmtId="0" fontId="33" fillId="0" borderId="0" xfId="0" applyFont="1" applyAlignment="1">
      <alignment horizontal="center" vertical="center" wrapText="1"/>
    </xf>
    <xf numFmtId="0" fontId="0" fillId="3" borderId="40" xfId="0" applyFill="1" applyBorder="1" applyAlignment="1">
      <alignment horizontal="right"/>
    </xf>
    <xf numFmtId="0" fontId="8" fillId="5" borderId="8" xfId="0" quotePrefix="1" applyFont="1" applyFill="1" applyBorder="1" applyAlignment="1">
      <alignment horizontal="center"/>
    </xf>
    <xf numFmtId="0" fontId="8" fillId="5" borderId="24" xfId="0" quotePrefix="1" applyFont="1" applyFill="1" applyBorder="1" applyAlignment="1">
      <alignment horizontal="center"/>
    </xf>
    <xf numFmtId="0" fontId="0" fillId="0" borderId="0" xfId="0" applyAlignment="1">
      <alignment horizontal="left" wrapText="1"/>
    </xf>
    <xf numFmtId="0" fontId="33" fillId="0" borderId="0" xfId="0" applyFont="1" applyAlignment="1">
      <alignment horizontal="left" vertical="center" wrapText="1"/>
    </xf>
    <xf numFmtId="167" fontId="14" fillId="0" borderId="0" xfId="1" applyNumberFormat="1" applyFont="1" applyFill="1" applyBorder="1" applyAlignment="1">
      <alignment horizontal="center" vertical="center" wrapText="1"/>
    </xf>
    <xf numFmtId="0" fontId="0" fillId="11" borderId="41" xfId="0" applyFill="1" applyBorder="1" applyAlignment="1">
      <alignment horizontal="center" vertical="center"/>
    </xf>
    <xf numFmtId="0" fontId="0" fillId="11" borderId="38" xfId="0" applyFill="1" applyBorder="1" applyAlignment="1">
      <alignment horizontal="center" vertical="center"/>
    </xf>
    <xf numFmtId="0" fontId="39" fillId="9" borderId="41" xfId="4" applyFont="1" applyBorder="1" applyAlignment="1">
      <alignment horizontal="center" vertical="center"/>
    </xf>
    <xf numFmtId="0" fontId="39" fillId="9" borderId="45" xfId="4" applyFont="1" applyBorder="1" applyAlignment="1">
      <alignment horizontal="center" vertical="center"/>
    </xf>
    <xf numFmtId="0" fontId="0" fillId="0" borderId="46" xfId="0" applyBorder="1" applyAlignment="1">
      <alignment horizontal="center" vertical="center"/>
    </xf>
    <xf numFmtId="0" fontId="0" fillId="0" borderId="37" xfId="0" applyBorder="1" applyAlignment="1">
      <alignment horizontal="center" vertical="center"/>
    </xf>
    <xf numFmtId="0" fontId="0" fillId="0" borderId="47" xfId="0" applyBorder="1" applyAlignment="1">
      <alignment horizontal="center" vertical="center"/>
    </xf>
    <xf numFmtId="0" fontId="0" fillId="0" borderId="38" xfId="0" applyBorder="1" applyAlignment="1">
      <alignment horizontal="center" vertical="center"/>
    </xf>
    <xf numFmtId="0" fontId="17" fillId="10" borderId="41" xfId="5" applyBorder="1" applyAlignment="1">
      <alignment horizontal="center" vertical="center"/>
    </xf>
    <xf numFmtId="0" fontId="0" fillId="12" borderId="46" xfId="0" applyFill="1" applyBorder="1" applyAlignment="1">
      <alignment horizontal="center" vertical="center"/>
    </xf>
    <xf numFmtId="0" fontId="39" fillId="9" borderId="0" xfId="4" applyFont="1" applyBorder="1" applyAlignment="1">
      <alignment horizontal="center" vertical="center"/>
    </xf>
    <xf numFmtId="49" fontId="0" fillId="0" borderId="46" xfId="0" applyNumberFormat="1" applyBorder="1" applyAlignment="1">
      <alignment horizontal="center" vertical="center"/>
    </xf>
    <xf numFmtId="49" fontId="0" fillId="0" borderId="37" xfId="0" applyNumberFormat="1" applyBorder="1" applyAlignment="1">
      <alignment horizontal="center" vertical="center"/>
    </xf>
    <xf numFmtId="49" fontId="0" fillId="0" borderId="46" xfId="0" applyNumberFormat="1" applyBorder="1" applyAlignment="1">
      <alignment horizontal="center"/>
    </xf>
    <xf numFmtId="0" fontId="0" fillId="12" borderId="47" xfId="0" applyFill="1" applyBorder="1" applyAlignment="1">
      <alignment horizontal="center" vertical="center"/>
    </xf>
    <xf numFmtId="0" fontId="39" fillId="9" borderId="9" xfId="4" applyFont="1" applyBorder="1" applyAlignment="1">
      <alignment horizontal="center" vertical="center"/>
    </xf>
    <xf numFmtId="49" fontId="0" fillId="0" borderId="38" xfId="0" applyNumberFormat="1" applyBorder="1" applyAlignment="1">
      <alignment horizontal="center" vertical="center"/>
    </xf>
    <xf numFmtId="49" fontId="0" fillId="0" borderId="47" xfId="0" applyNumberFormat="1" applyBorder="1" applyAlignment="1">
      <alignment horizontal="center" vertical="center"/>
    </xf>
    <xf numFmtId="0" fontId="0" fillId="0" borderId="48" xfId="0" applyBorder="1" applyAlignment="1">
      <alignment horizontal="center" vertical="center"/>
    </xf>
    <xf numFmtId="49" fontId="0" fillId="0" borderId="48" xfId="0" applyNumberFormat="1" applyBorder="1" applyAlignment="1">
      <alignment horizontal="center" vertical="center"/>
    </xf>
    <xf numFmtId="0" fontId="39" fillId="9" borderId="12" xfId="4" applyFont="1" applyBorder="1" applyAlignment="1">
      <alignment horizontal="center" vertical="center"/>
    </xf>
    <xf numFmtId="170" fontId="0" fillId="0" borderId="48" xfId="0" applyNumberFormat="1" applyBorder="1" applyAlignment="1">
      <alignment horizontal="center" vertical="center"/>
    </xf>
    <xf numFmtId="170" fontId="0" fillId="0" borderId="46" xfId="0" applyNumberFormat="1" applyBorder="1" applyAlignment="1">
      <alignment horizontal="center" vertical="center"/>
    </xf>
    <xf numFmtId="0" fontId="0" fillId="0" borderId="46" xfId="0" applyBorder="1" applyAlignment="1">
      <alignment horizontal="center"/>
    </xf>
    <xf numFmtId="0" fontId="0" fillId="0" borderId="33" xfId="0" applyBorder="1" applyAlignment="1">
      <alignment horizontal="center"/>
    </xf>
    <xf numFmtId="0" fontId="0" fillId="0" borderId="35" xfId="0" applyBorder="1" applyAlignment="1">
      <alignment horizontal="center"/>
    </xf>
    <xf numFmtId="0" fontId="0" fillId="0" borderId="34" xfId="0" applyBorder="1" applyAlignment="1">
      <alignment horizontal="center"/>
    </xf>
    <xf numFmtId="5" fontId="33" fillId="0" borderId="0" xfId="1" applyNumberFormat="1" applyFont="1" applyFill="1" applyBorder="1" applyAlignment="1">
      <alignment horizontal="center"/>
    </xf>
    <xf numFmtId="5" fontId="33" fillId="0" borderId="20" xfId="1" applyNumberFormat="1" applyFont="1" applyFill="1" applyBorder="1" applyAlignment="1">
      <alignment horizontal="center"/>
    </xf>
    <xf numFmtId="7" fontId="0" fillId="0" borderId="0" xfId="0" applyNumberFormat="1"/>
    <xf numFmtId="49" fontId="0" fillId="0" borderId="0" xfId="0" applyNumberFormat="1" applyAlignment="1">
      <alignment horizontal="center" vertical="center"/>
    </xf>
    <xf numFmtId="0" fontId="0" fillId="0" borderId="0" xfId="0" applyAlignment="1">
      <alignment horizontal="center" vertical="center"/>
    </xf>
    <xf numFmtId="0" fontId="0" fillId="3" borderId="49" xfId="0" applyFill="1" applyBorder="1" applyAlignment="1">
      <alignment horizontal="right"/>
    </xf>
    <xf numFmtId="165" fontId="34" fillId="0" borderId="0" xfId="0" applyNumberFormat="1" applyFont="1" applyAlignment="1">
      <alignment horizontal="center" vertical="center"/>
    </xf>
    <xf numFmtId="165" fontId="0" fillId="0" borderId="0" xfId="0" applyNumberFormat="1"/>
    <xf numFmtId="167" fontId="27" fillId="0" borderId="20" xfId="1" applyNumberFormat="1" applyFont="1" applyBorder="1" applyAlignment="1">
      <alignment horizontal="center" wrapText="1"/>
    </xf>
    <xf numFmtId="0" fontId="42" fillId="0" borderId="0" xfId="0" applyFont="1"/>
    <xf numFmtId="0" fontId="0" fillId="8" borderId="4" xfId="0" applyFill="1" applyBorder="1" applyAlignment="1">
      <alignment horizontal="right"/>
    </xf>
    <xf numFmtId="0" fontId="43" fillId="0" borderId="0" xfId="0" applyFont="1"/>
    <xf numFmtId="0" fontId="44" fillId="0" borderId="7" xfId="0" applyFont="1" applyBorder="1"/>
    <xf numFmtId="0" fontId="44" fillId="0" borderId="0" xfId="0" applyFont="1"/>
    <xf numFmtId="164" fontId="44" fillId="0" borderId="0" xfId="0" applyNumberFormat="1" applyFont="1"/>
    <xf numFmtId="0" fontId="32" fillId="13" borderId="0" xfId="0" applyFont="1" applyFill="1"/>
    <xf numFmtId="167" fontId="0" fillId="13" borderId="0" xfId="1" applyNumberFormat="1" applyFont="1" applyFill="1"/>
    <xf numFmtId="0" fontId="0" fillId="13" borderId="0" xfId="0" applyFill="1"/>
    <xf numFmtId="0" fontId="33" fillId="13" borderId="0" xfId="0" applyFont="1" applyFill="1" applyAlignment="1">
      <alignment vertical="center"/>
    </xf>
    <xf numFmtId="44" fontId="0" fillId="13" borderId="0" xfId="1" applyFont="1" applyFill="1"/>
    <xf numFmtId="0" fontId="0" fillId="13" borderId="0" xfId="0" applyFill="1" applyAlignment="1">
      <alignment horizontal="center" wrapText="1"/>
    </xf>
    <xf numFmtId="0" fontId="38" fillId="13" borderId="0" xfId="0" applyFont="1" applyFill="1"/>
    <xf numFmtId="165" fontId="34" fillId="13" borderId="33" xfId="0" applyNumberFormat="1" applyFont="1" applyFill="1" applyBorder="1" applyAlignment="1">
      <alignment horizontal="center" vertical="center" wrapText="1"/>
    </xf>
    <xf numFmtId="0" fontId="1" fillId="13" borderId="34" xfId="0" applyFont="1" applyFill="1" applyBorder="1" applyAlignment="1">
      <alignment horizontal="center"/>
    </xf>
    <xf numFmtId="0" fontId="0" fillId="13" borderId="29" xfId="0" applyFill="1" applyBorder="1" applyAlignment="1">
      <alignment horizontal="center" vertical="center"/>
    </xf>
    <xf numFmtId="165" fontId="0" fillId="13" borderId="20" xfId="0" applyNumberFormat="1" applyFill="1" applyBorder="1" applyAlignment="1">
      <alignment horizontal="center"/>
    </xf>
    <xf numFmtId="169" fontId="0" fillId="13" borderId="0" xfId="0" applyNumberFormat="1" applyFill="1"/>
    <xf numFmtId="0" fontId="0" fillId="13" borderId="19" xfId="0" applyFill="1" applyBorder="1" applyAlignment="1">
      <alignment horizontal="center" vertical="center"/>
    </xf>
    <xf numFmtId="0" fontId="0" fillId="13" borderId="26" xfId="0" applyFill="1" applyBorder="1" applyAlignment="1">
      <alignment horizontal="center" vertical="center"/>
    </xf>
    <xf numFmtId="165" fontId="0" fillId="13" borderId="28" xfId="0" applyNumberFormat="1" applyFill="1" applyBorder="1" applyAlignment="1">
      <alignment horizontal="center"/>
    </xf>
    <xf numFmtId="167" fontId="27" fillId="0" borderId="22" xfId="1" applyNumberFormat="1" applyFont="1" applyBorder="1" applyAlignment="1">
      <alignment horizontal="center" wrapText="1"/>
    </xf>
    <xf numFmtId="165" fontId="34" fillId="13" borderId="0" xfId="0" applyNumberFormat="1" applyFont="1" applyFill="1" applyAlignment="1">
      <alignment horizontal="center" vertical="center" wrapText="1"/>
    </xf>
    <xf numFmtId="165" fontId="34" fillId="13" borderId="0" xfId="0" applyNumberFormat="1" applyFont="1" applyFill="1" applyAlignment="1">
      <alignment horizontal="center" vertical="center"/>
    </xf>
    <xf numFmtId="165" fontId="0" fillId="13" borderId="0" xfId="0" applyNumberFormat="1" applyFill="1" applyAlignment="1">
      <alignment horizontal="center"/>
    </xf>
    <xf numFmtId="0" fontId="1" fillId="13" borderId="0" xfId="0" applyFont="1" applyFill="1"/>
    <xf numFmtId="164" fontId="6" fillId="3" borderId="9" xfId="0" applyNumberFormat="1" applyFont="1" applyFill="1" applyBorder="1" applyAlignment="1">
      <alignment horizontal="center"/>
    </xf>
    <xf numFmtId="3" fontId="6" fillId="3" borderId="9" xfId="0" applyNumberFormat="1" applyFont="1" applyFill="1" applyBorder="1" applyAlignment="1">
      <alignment horizontal="center"/>
    </xf>
    <xf numFmtId="0" fontId="6" fillId="3" borderId="9" xfId="0" applyFont="1" applyFill="1" applyBorder="1" applyAlignment="1">
      <alignment horizontal="center"/>
    </xf>
    <xf numFmtId="165" fontId="0" fillId="13" borderId="0" xfId="0" applyNumberFormat="1" applyFill="1" applyAlignment="1">
      <alignment horizontal="center" vertical="center" wrapText="1"/>
    </xf>
    <xf numFmtId="165" fontId="33" fillId="13" borderId="0" xfId="0" applyNumberFormat="1" applyFont="1" applyFill="1" applyAlignment="1">
      <alignment horizontal="center" vertical="center"/>
    </xf>
    <xf numFmtId="165" fontId="0" fillId="13" borderId="0" xfId="0" applyNumberFormat="1" applyFill="1"/>
    <xf numFmtId="0" fontId="36" fillId="13" borderId="0" xfId="0" applyFont="1" applyFill="1" applyAlignment="1">
      <alignment vertical="top"/>
    </xf>
    <xf numFmtId="167" fontId="36" fillId="13" borderId="0" xfId="1" applyNumberFormat="1" applyFont="1" applyFill="1" applyAlignment="1">
      <alignment vertical="top"/>
    </xf>
    <xf numFmtId="167" fontId="27" fillId="0" borderId="20" xfId="1" applyNumberFormat="1" applyFont="1" applyFill="1" applyBorder="1" applyAlignment="1">
      <alignment horizontal="center" wrapText="1"/>
    </xf>
    <xf numFmtId="0" fontId="29" fillId="13" borderId="0" xfId="0" applyFont="1" applyFill="1" applyAlignment="1">
      <alignment horizontal="center" vertical="top" wrapText="1"/>
    </xf>
    <xf numFmtId="44" fontId="0" fillId="0" borderId="0" xfId="0" applyNumberFormat="1"/>
    <xf numFmtId="0" fontId="1" fillId="3" borderId="0" xfId="0" applyFont="1" applyFill="1" applyAlignment="1">
      <alignment horizontal="center"/>
    </xf>
    <xf numFmtId="167" fontId="0" fillId="3" borderId="0" xfId="0" applyNumberFormat="1" applyFill="1"/>
    <xf numFmtId="167" fontId="0" fillId="3" borderId="20" xfId="0" applyNumberFormat="1" applyFill="1" applyBorder="1"/>
    <xf numFmtId="0" fontId="3" fillId="3" borderId="19" xfId="0" applyFont="1" applyFill="1" applyBorder="1"/>
    <xf numFmtId="164" fontId="0" fillId="3" borderId="0" xfId="0" applyNumberFormat="1" applyFill="1"/>
    <xf numFmtId="0" fontId="1" fillId="3" borderId="36" xfId="0" applyFont="1" applyFill="1" applyBorder="1"/>
    <xf numFmtId="167" fontId="1" fillId="3" borderId="20" xfId="0" applyNumberFormat="1" applyFont="1" applyFill="1" applyBorder="1"/>
    <xf numFmtId="165" fontId="34" fillId="13" borderId="34" xfId="0" applyNumberFormat="1" applyFont="1" applyFill="1" applyBorder="1" applyAlignment="1">
      <alignment horizontal="center" vertical="center"/>
    </xf>
    <xf numFmtId="165" fontId="0" fillId="13" borderId="19" xfId="0" applyNumberFormat="1" applyFill="1" applyBorder="1" applyAlignment="1">
      <alignment horizontal="center"/>
    </xf>
    <xf numFmtId="165" fontId="0" fillId="13" borderId="26" xfId="0" applyNumberFormat="1" applyFill="1" applyBorder="1" applyAlignment="1">
      <alignment horizontal="center"/>
    </xf>
    <xf numFmtId="3" fontId="23" fillId="0" borderId="0" xfId="0" applyNumberFormat="1" applyFont="1"/>
    <xf numFmtId="0" fontId="45" fillId="13" borderId="0" xfId="0" applyFont="1" applyFill="1"/>
    <xf numFmtId="0" fontId="0" fillId="13" borderId="0" xfId="0" applyFill="1" applyAlignment="1">
      <alignment horizontal="center"/>
    </xf>
    <xf numFmtId="49" fontId="0" fillId="13" borderId="19" xfId="0" applyNumberFormat="1" applyFill="1" applyBorder="1" applyAlignment="1">
      <alignment horizontal="center" vertical="center"/>
    </xf>
    <xf numFmtId="49" fontId="0" fillId="13" borderId="26" xfId="0" applyNumberFormat="1" applyFill="1" applyBorder="1" applyAlignment="1">
      <alignment horizontal="center" vertical="center"/>
    </xf>
    <xf numFmtId="0" fontId="0" fillId="3" borderId="39" xfId="0" applyFill="1" applyBorder="1" applyProtection="1">
      <protection locked="0"/>
    </xf>
    <xf numFmtId="14" fontId="0" fillId="3" borderId="39" xfId="0" applyNumberFormat="1" applyFill="1" applyBorder="1" applyProtection="1">
      <protection locked="0"/>
    </xf>
    <xf numFmtId="0" fontId="0" fillId="3" borderId="39" xfId="0" applyFill="1" applyBorder="1" applyAlignment="1" applyProtection="1">
      <alignment horizontal="right"/>
      <protection locked="0"/>
    </xf>
    <xf numFmtId="3" fontId="0" fillId="8" borderId="4" xfId="0" applyNumberFormat="1" applyFill="1" applyBorder="1" applyAlignment="1" applyProtection="1">
      <alignment horizontal="right"/>
      <protection locked="0"/>
    </xf>
    <xf numFmtId="0" fontId="1" fillId="3" borderId="25" xfId="0" applyFont="1" applyFill="1" applyBorder="1" applyAlignment="1">
      <alignment horizontal="center"/>
    </xf>
    <xf numFmtId="0" fontId="1" fillId="3" borderId="0" xfId="0" applyFont="1" applyFill="1" applyAlignment="1">
      <alignment horizontal="left"/>
    </xf>
    <xf numFmtId="0" fontId="39" fillId="0" borderId="0" xfId="0" applyFont="1"/>
    <xf numFmtId="0" fontId="1" fillId="13" borderId="0" xfId="0" applyFont="1" applyFill="1" applyAlignment="1">
      <alignment horizontal="center"/>
    </xf>
    <xf numFmtId="0" fontId="1" fillId="13" borderId="0" xfId="0" applyFont="1" applyFill="1" applyAlignment="1">
      <alignment horizontal="center" wrapText="1"/>
    </xf>
    <xf numFmtId="0" fontId="25" fillId="3" borderId="20" xfId="0" applyFont="1" applyFill="1" applyBorder="1" applyAlignment="1">
      <alignment horizontal="center"/>
    </xf>
    <xf numFmtId="0" fontId="1" fillId="4" borderId="0" xfId="0" applyFont="1" applyFill="1"/>
    <xf numFmtId="0" fontId="0" fillId="0" borderId="0" xfId="0" applyAlignment="1">
      <alignment wrapText="1"/>
    </xf>
    <xf numFmtId="44" fontId="0" fillId="0" borderId="0" xfId="1" applyFont="1" applyAlignment="1">
      <alignment wrapText="1"/>
    </xf>
    <xf numFmtId="44" fontId="0" fillId="0" borderId="0" xfId="1" applyFont="1"/>
    <xf numFmtId="167" fontId="27" fillId="0" borderId="20" xfId="1" quotePrefix="1" applyNumberFormat="1" applyFont="1" applyFill="1" applyBorder="1" applyAlignment="1">
      <alignment horizontal="center" wrapText="1"/>
    </xf>
    <xf numFmtId="0" fontId="8" fillId="5" borderId="23" xfId="0" quotePrefix="1" applyFont="1" applyFill="1" applyBorder="1" applyAlignment="1">
      <alignment horizontal="left"/>
    </xf>
    <xf numFmtId="167" fontId="27" fillId="0" borderId="0" xfId="1" quotePrefix="1" applyNumberFormat="1" applyFont="1" applyBorder="1" applyAlignment="1">
      <alignment horizontal="center" wrapText="1"/>
    </xf>
    <xf numFmtId="167" fontId="27" fillId="0" borderId="0" xfId="1" quotePrefix="1" applyNumberFormat="1" applyFont="1" applyFill="1" applyBorder="1" applyAlignment="1">
      <alignment horizontal="center" wrapText="1"/>
    </xf>
    <xf numFmtId="0" fontId="47" fillId="3" borderId="0" xfId="0" applyFont="1" applyFill="1"/>
    <xf numFmtId="0" fontId="6" fillId="0" borderId="7" xfId="0" applyFont="1" applyBorder="1"/>
    <xf numFmtId="0" fontId="6" fillId="0" borderId="19" xfId="0" applyFont="1" applyBorder="1"/>
    <xf numFmtId="0" fontId="12" fillId="0" borderId="21" xfId="0" applyFont="1" applyBorder="1"/>
    <xf numFmtId="0" fontId="12" fillId="0" borderId="7" xfId="0" applyFont="1" applyBorder="1"/>
    <xf numFmtId="0" fontId="12" fillId="0" borderId="7" xfId="0" applyFont="1" applyBorder="1" applyProtection="1">
      <protection locked="0"/>
    </xf>
    <xf numFmtId="0" fontId="12" fillId="0" borderId="19" xfId="0" applyFont="1" applyBorder="1"/>
    <xf numFmtId="0" fontId="12" fillId="0" borderId="0" xfId="0" applyFont="1"/>
    <xf numFmtId="0" fontId="12" fillId="0" borderId="0" xfId="0" applyFont="1" applyProtection="1">
      <protection locked="0"/>
    </xf>
    <xf numFmtId="0" fontId="10" fillId="0" borderId="0" xfId="0" applyFont="1"/>
    <xf numFmtId="0" fontId="30" fillId="0" borderId="0" xfId="0" applyFont="1"/>
    <xf numFmtId="171" fontId="0" fillId="0" borderId="0" xfId="6" applyNumberFormat="1" applyFont="1" applyAlignment="1">
      <alignment horizontal="center"/>
    </xf>
    <xf numFmtId="0" fontId="0" fillId="3" borderId="51" xfId="0" applyFill="1" applyBorder="1" applyAlignment="1">
      <alignment horizontal="right"/>
    </xf>
    <xf numFmtId="0" fontId="48" fillId="0" borderId="0" xfId="0" applyFont="1"/>
    <xf numFmtId="167" fontId="46" fillId="0" borderId="20" xfId="1" applyNumberFormat="1" applyFont="1" applyBorder="1" applyAlignment="1">
      <alignment horizontal="center" wrapText="1"/>
    </xf>
    <xf numFmtId="0" fontId="12" fillId="0" borderId="13" xfId="0" applyFont="1" applyBorder="1"/>
    <xf numFmtId="0" fontId="37" fillId="0" borderId="19" xfId="0" applyFont="1" applyBorder="1"/>
    <xf numFmtId="167" fontId="7" fillId="0" borderId="20" xfId="1" applyNumberFormat="1" applyFont="1" applyBorder="1"/>
    <xf numFmtId="167" fontId="49" fillId="0" borderId="20" xfId="1" applyNumberFormat="1" applyFont="1" applyBorder="1" applyAlignment="1">
      <alignment horizontal="center" wrapText="1"/>
    </xf>
    <xf numFmtId="171" fontId="23" fillId="3" borderId="0" xfId="6" applyNumberFormat="1" applyFont="1" applyFill="1"/>
    <xf numFmtId="3" fontId="23" fillId="3" borderId="0" xfId="0" applyNumberFormat="1" applyFont="1" applyFill="1" applyAlignment="1">
      <alignment horizontal="left"/>
    </xf>
    <xf numFmtId="0" fontId="50" fillId="3" borderId="0" xfId="0" applyFont="1" applyFill="1"/>
    <xf numFmtId="3" fontId="23" fillId="3" borderId="9" xfId="0" applyNumberFormat="1" applyFont="1" applyFill="1" applyBorder="1" applyAlignment="1">
      <alignment horizontal="left"/>
    </xf>
    <xf numFmtId="0" fontId="23" fillId="3" borderId="9" xfId="0" applyFont="1" applyFill="1" applyBorder="1"/>
    <xf numFmtId="0" fontId="47" fillId="3" borderId="19" xfId="0" applyFont="1" applyFill="1" applyBorder="1"/>
    <xf numFmtId="14" fontId="47" fillId="3" borderId="0" xfId="0" applyNumberFormat="1" applyFont="1" applyFill="1"/>
    <xf numFmtId="171" fontId="0" fillId="0" borderId="0" xfId="6" applyNumberFormat="1" applyFont="1"/>
    <xf numFmtId="0" fontId="1" fillId="0" borderId="16" xfId="0" applyFont="1" applyBorder="1"/>
    <xf numFmtId="0" fontId="0" fillId="0" borderId="17" xfId="0" applyBorder="1"/>
    <xf numFmtId="0" fontId="0" fillId="0" borderId="18" xfId="0" applyBorder="1"/>
    <xf numFmtId="0" fontId="0" fillId="0" borderId="20" xfId="0" applyBorder="1" applyAlignment="1">
      <alignment horizontal="center" wrapText="1"/>
    </xf>
    <xf numFmtId="171" fontId="0" fillId="0" borderId="0" xfId="6" applyNumberFormat="1" applyFont="1" applyBorder="1"/>
    <xf numFmtId="0" fontId="0" fillId="0" borderId="28" xfId="0" applyBorder="1"/>
    <xf numFmtId="44" fontId="0" fillId="0" borderId="0" xfId="1" applyFont="1" applyBorder="1"/>
    <xf numFmtId="0" fontId="0" fillId="3" borderId="20" xfId="0" applyFill="1" applyBorder="1" applyAlignment="1" applyProtection="1">
      <alignment horizontal="right"/>
      <protection locked="0"/>
    </xf>
    <xf numFmtId="0" fontId="0" fillId="3" borderId="28" xfId="0" applyFill="1" applyBorder="1" applyAlignment="1">
      <alignment horizontal="right"/>
    </xf>
    <xf numFmtId="0" fontId="6" fillId="6" borderId="13" xfId="0" applyFont="1" applyFill="1" applyBorder="1" applyProtection="1">
      <protection locked="0"/>
    </xf>
    <xf numFmtId="0" fontId="7" fillId="6" borderId="0" xfId="0" applyFont="1" applyFill="1" applyProtection="1">
      <protection locked="0"/>
    </xf>
    <xf numFmtId="167" fontId="27" fillId="0" borderId="20" xfId="1" applyNumberFormat="1" applyFont="1" applyBorder="1" applyAlignment="1" applyProtection="1">
      <alignment horizontal="center" wrapText="1"/>
      <protection locked="0"/>
    </xf>
    <xf numFmtId="0" fontId="0" fillId="6" borderId="0" xfId="0" applyFill="1" applyProtection="1">
      <protection locked="0"/>
    </xf>
    <xf numFmtId="167" fontId="46" fillId="0" borderId="20" xfId="1" applyNumberFormat="1" applyFont="1" applyBorder="1" applyAlignment="1" applyProtection="1">
      <alignment horizontal="center" wrapText="1"/>
      <protection locked="0"/>
    </xf>
    <xf numFmtId="0" fontId="7" fillId="0" borderId="50" xfId="0" applyFont="1" applyBorder="1" applyAlignment="1" applyProtection="1">
      <alignment horizontal="right"/>
      <protection locked="0"/>
    </xf>
    <xf numFmtId="0" fontId="0" fillId="3" borderId="53" xfId="0" applyFill="1" applyBorder="1" applyAlignment="1">
      <alignment horizontal="right"/>
    </xf>
    <xf numFmtId="0" fontId="0" fillId="3" borderId="52" xfId="0" applyFill="1" applyBorder="1" applyAlignment="1">
      <alignment horizontal="right"/>
    </xf>
    <xf numFmtId="0" fontId="0" fillId="0" borderId="26" xfId="0" applyBorder="1" applyAlignment="1">
      <alignment horizontal="center"/>
    </xf>
    <xf numFmtId="5" fontId="33" fillId="0" borderId="27" xfId="1" applyNumberFormat="1" applyFont="1" applyFill="1" applyBorder="1" applyAlignment="1">
      <alignment horizontal="center"/>
    </xf>
    <xf numFmtId="5" fontId="33" fillId="0" borderId="28" xfId="1" applyNumberFormat="1" applyFont="1" applyFill="1" applyBorder="1" applyAlignment="1">
      <alignment horizontal="center"/>
    </xf>
    <xf numFmtId="0" fontId="30" fillId="0" borderId="20" xfId="0" applyFont="1" applyBorder="1"/>
    <xf numFmtId="0" fontId="13" fillId="3" borderId="0" xfId="0" applyFont="1" applyFill="1" applyAlignment="1">
      <alignment horizontal="center" vertical="center"/>
    </xf>
    <xf numFmtId="0" fontId="13" fillId="3" borderId="9" xfId="0" applyFont="1" applyFill="1" applyBorder="1" applyAlignment="1">
      <alignment horizontal="center" vertical="center"/>
    </xf>
    <xf numFmtId="0" fontId="5" fillId="3" borderId="16" xfId="0" applyFont="1" applyFill="1" applyBorder="1" applyAlignment="1">
      <alignment horizontal="center"/>
    </xf>
    <xf numFmtId="0" fontId="5" fillId="3" borderId="17" xfId="0" applyFont="1" applyFill="1" applyBorder="1" applyAlignment="1">
      <alignment horizontal="center"/>
    </xf>
    <xf numFmtId="0" fontId="5" fillId="3" borderId="18" xfId="0" applyFont="1" applyFill="1" applyBorder="1" applyAlignment="1">
      <alignment horizontal="center"/>
    </xf>
    <xf numFmtId="0" fontId="9" fillId="3" borderId="9" xfId="0" applyFont="1" applyFill="1" applyBorder="1" applyAlignment="1">
      <alignment horizontal="center"/>
    </xf>
    <xf numFmtId="0" fontId="2" fillId="3" borderId="3" xfId="0" applyFont="1" applyFill="1" applyBorder="1" applyAlignment="1">
      <alignment horizontal="center"/>
    </xf>
    <xf numFmtId="0" fontId="2" fillId="3" borderId="0" xfId="0" applyFont="1" applyFill="1" applyAlignment="1">
      <alignment horizontal="center"/>
    </xf>
    <xf numFmtId="0" fontId="2" fillId="3" borderId="4" xfId="0" applyFont="1" applyFill="1" applyBorder="1" applyAlignment="1">
      <alignment horizontal="center"/>
    </xf>
    <xf numFmtId="0" fontId="36" fillId="0" borderId="0" xfId="0" applyFont="1" applyAlignment="1">
      <alignment horizontal="left" vertical="center" wrapText="1"/>
    </xf>
    <xf numFmtId="0" fontId="36" fillId="13" borderId="0" xfId="0" applyFont="1" applyFill="1" applyAlignment="1">
      <alignment horizontal="left" vertical="center" wrapText="1"/>
    </xf>
    <xf numFmtId="0" fontId="33" fillId="13" borderId="0" xfId="0" applyFont="1" applyFill="1" applyAlignment="1">
      <alignment horizontal="center" vertical="center" wrapText="1"/>
    </xf>
    <xf numFmtId="0" fontId="33" fillId="0" borderId="0" xfId="0" applyFont="1" applyAlignment="1">
      <alignment horizontal="center" vertical="center" wrapText="1"/>
    </xf>
    <xf numFmtId="165" fontId="34" fillId="0" borderId="35" xfId="0" applyNumberFormat="1" applyFont="1" applyBorder="1" applyAlignment="1">
      <alignment horizontal="center" vertical="center" wrapText="1"/>
    </xf>
    <xf numFmtId="0" fontId="36" fillId="0" borderId="15" xfId="0" applyFont="1" applyBorder="1" applyAlignment="1">
      <alignment horizontal="center" wrapText="1"/>
    </xf>
    <xf numFmtId="0" fontId="36" fillId="0" borderId="27" xfId="0" applyFont="1" applyBorder="1" applyAlignment="1">
      <alignment horizontal="center" wrapText="1"/>
    </xf>
    <xf numFmtId="0" fontId="0" fillId="13" borderId="0" xfId="0" quotePrefix="1" applyFill="1" applyAlignment="1">
      <alignment horizontal="left" wrapText="1"/>
    </xf>
    <xf numFmtId="0" fontId="33" fillId="13" borderId="0" xfId="0" applyFont="1" applyFill="1" applyAlignment="1">
      <alignment horizontal="left" vertical="center" wrapText="1"/>
    </xf>
    <xf numFmtId="0" fontId="36" fillId="13" borderId="0" xfId="0" applyFont="1" applyFill="1" applyAlignment="1">
      <alignment horizontal="center" vertical="center" wrapText="1"/>
    </xf>
    <xf numFmtId="0" fontId="0" fillId="13" borderId="0" xfId="0" applyFill="1" applyAlignment="1">
      <alignment horizontal="left" wrapText="1"/>
    </xf>
    <xf numFmtId="0" fontId="0" fillId="0" borderId="0" xfId="0" applyAlignment="1">
      <alignment horizontal="left" wrapText="1"/>
    </xf>
    <xf numFmtId="0" fontId="17" fillId="10" borderId="11" xfId="5" applyBorder="1" applyAlignment="1">
      <alignment horizontal="center" vertical="center"/>
    </xf>
    <xf numFmtId="0" fontId="17" fillId="10" borderId="42" xfId="5" applyBorder="1" applyAlignment="1">
      <alignment horizontal="center" vertical="center"/>
    </xf>
    <xf numFmtId="0" fontId="0" fillId="0" borderId="43" xfId="0" applyBorder="1" applyAlignment="1">
      <alignment horizontal="center"/>
    </xf>
    <xf numFmtId="0" fontId="0" fillId="0" borderId="44" xfId="0" applyBorder="1" applyAlignment="1">
      <alignment horizontal="center"/>
    </xf>
    <xf numFmtId="0" fontId="0" fillId="0" borderId="45" xfId="0" applyBorder="1" applyAlignment="1">
      <alignment horizontal="center"/>
    </xf>
    <xf numFmtId="0" fontId="17" fillId="10" borderId="10" xfId="5" applyBorder="1" applyAlignment="1">
      <alignment horizontal="center"/>
    </xf>
    <xf numFmtId="0" fontId="17" fillId="10" borderId="38" xfId="5" applyBorder="1" applyAlignment="1">
      <alignment horizontal="center"/>
    </xf>
  </cellXfs>
  <cellStyles count="7">
    <cellStyle name="20% - Accent2" xfId="5" builtinId="34"/>
    <cellStyle name="Comma" xfId="6" builtinId="3"/>
    <cellStyle name="Currency" xfId="1" builtinId="4"/>
    <cellStyle name="Currency 3" xfId="3" xr:uid="{7AB6E9F7-F2FE-471E-9F26-2526018234A2}"/>
    <cellStyle name="Neutral" xfId="4" builtinId="28"/>
    <cellStyle name="Normal" xfId="0" builtinId="0"/>
    <cellStyle name="Normal 3" xfId="2" xr:uid="{8D4A472C-FC00-46BB-BCB9-BEBC173DCCE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 Id="rId6" Type="http://schemas.openxmlformats.org/officeDocument/2006/relationships/image" Target="../media/image10.png"/><Relationship Id="rId5" Type="http://schemas.openxmlformats.org/officeDocument/2006/relationships/image" Target="../media/image9.png"/><Relationship Id="rId4"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2</xdr:row>
      <xdr:rowOff>1</xdr:rowOff>
    </xdr:from>
    <xdr:to>
      <xdr:col>8</xdr:col>
      <xdr:colOff>295364</xdr:colOff>
      <xdr:row>7</xdr:row>
      <xdr:rowOff>171451</xdr:rowOff>
    </xdr:to>
    <xdr:pic>
      <xdr:nvPicPr>
        <xdr:cNvPr id="2" name="Picture 1">
          <a:extLst>
            <a:ext uri="{FF2B5EF4-FFF2-40B4-BE49-F238E27FC236}">
              <a16:creationId xmlns:a16="http://schemas.microsoft.com/office/drawing/2014/main" id="{3DC868F4-89E7-4508-AE1C-CFC4B75D947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571501"/>
          <a:ext cx="2276564"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73</xdr:row>
      <xdr:rowOff>47625</xdr:rowOff>
    </xdr:from>
    <xdr:to>
      <xdr:col>5</xdr:col>
      <xdr:colOff>250372</xdr:colOff>
      <xdr:row>77</xdr:row>
      <xdr:rowOff>0</xdr:rowOff>
    </xdr:to>
    <xdr:pic>
      <xdr:nvPicPr>
        <xdr:cNvPr id="3" name="Picture 4">
          <a:extLst>
            <a:ext uri="{FF2B5EF4-FFF2-40B4-BE49-F238E27FC236}">
              <a16:creationId xmlns:a16="http://schemas.microsoft.com/office/drawing/2014/main" id="{C6B6F4B3-146D-42CA-AA9F-2AA6C6DDF01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4300" y="12715875"/>
          <a:ext cx="3660322"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20</xdr:row>
      <xdr:rowOff>70</xdr:rowOff>
    </xdr:from>
    <xdr:to>
      <xdr:col>12</xdr:col>
      <xdr:colOff>819149</xdr:colOff>
      <xdr:row>40</xdr:row>
      <xdr:rowOff>252203</xdr:rowOff>
    </xdr:to>
    <xdr:pic>
      <xdr:nvPicPr>
        <xdr:cNvPr id="4" name="Picture 3">
          <a:extLst>
            <a:ext uri="{FF2B5EF4-FFF2-40B4-BE49-F238E27FC236}">
              <a16:creationId xmlns:a16="http://schemas.microsoft.com/office/drawing/2014/main" id="{74E9CA00-AE72-6D0A-70AD-891CBBE591BC}"/>
            </a:ext>
          </a:extLst>
        </xdr:cNvPr>
        <xdr:cNvPicPr>
          <a:picLocks noChangeAspect="1"/>
        </xdr:cNvPicPr>
      </xdr:nvPicPr>
      <xdr:blipFill>
        <a:blip xmlns:r="http://schemas.openxmlformats.org/officeDocument/2006/relationships" r:embed="rId3"/>
        <a:stretch>
          <a:fillRect/>
        </a:stretch>
      </xdr:blipFill>
      <xdr:spPr>
        <a:xfrm>
          <a:off x="0" y="4657795"/>
          <a:ext cx="9686924" cy="407165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9525</xdr:rowOff>
    </xdr:from>
    <xdr:to>
      <xdr:col>1</xdr:col>
      <xdr:colOff>1060206</xdr:colOff>
      <xdr:row>2</xdr:row>
      <xdr:rowOff>110633</xdr:rowOff>
    </xdr:to>
    <xdr:pic>
      <xdr:nvPicPr>
        <xdr:cNvPr id="2" name="Picture 3">
          <a:extLst>
            <a:ext uri="{FF2B5EF4-FFF2-40B4-BE49-F238E27FC236}">
              <a16:creationId xmlns:a16="http://schemas.microsoft.com/office/drawing/2014/main" id="{9F7B28A8-382C-43C5-AFF4-F62C6C00DD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525"/>
          <a:ext cx="2657475" cy="4916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3</xdr:col>
          <xdr:colOff>22860</xdr:colOff>
          <xdr:row>2</xdr:row>
          <xdr:rowOff>22860</xdr:rowOff>
        </xdr:from>
        <xdr:to>
          <xdr:col>3</xdr:col>
          <xdr:colOff>754380</xdr:colOff>
          <xdr:row>3</xdr:row>
          <xdr:rowOff>22860</xdr:rowOff>
        </xdr:to>
        <xdr:sp macro="" textlink="">
          <xdr:nvSpPr>
            <xdr:cNvPr id="2052" name="Button 4"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Aptos Narrow"/>
                </a:rPr>
                <a:t>Reset </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2</xdr:col>
          <xdr:colOff>22860</xdr:colOff>
          <xdr:row>92</xdr:row>
          <xdr:rowOff>22860</xdr:rowOff>
        </xdr:from>
        <xdr:to>
          <xdr:col>3</xdr:col>
          <xdr:colOff>7620</xdr:colOff>
          <xdr:row>92</xdr:row>
          <xdr:rowOff>228600</xdr:rowOff>
        </xdr:to>
        <xdr:sp macro="" textlink="">
          <xdr:nvSpPr>
            <xdr:cNvPr id="2060" name="Button 12" descr="Calculate" hidden="1">
              <a:extLst>
                <a:ext uri="{63B3BB69-23CF-44E3-9099-C40C66FF867C}">
                  <a14:compatExt spid="_x0000_s2060"/>
                </a:ext>
                <a:ext uri="{FF2B5EF4-FFF2-40B4-BE49-F238E27FC236}">
                  <a16:creationId xmlns:a16="http://schemas.microsoft.com/office/drawing/2014/main" id="{00000000-0008-0000-0100-00000C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Aptos Narrow"/>
                </a:rPr>
                <a:t>Calculate</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8</xdr:col>
      <xdr:colOff>400050</xdr:colOff>
      <xdr:row>0</xdr:row>
      <xdr:rowOff>38101</xdr:rowOff>
    </xdr:from>
    <xdr:to>
      <xdr:col>13</xdr:col>
      <xdr:colOff>687917</xdr:colOff>
      <xdr:row>3</xdr:row>
      <xdr:rowOff>57151</xdr:rowOff>
    </xdr:to>
    <xdr:pic>
      <xdr:nvPicPr>
        <xdr:cNvPr id="2" name="Picture 1">
          <a:extLst>
            <a:ext uri="{FF2B5EF4-FFF2-40B4-BE49-F238E27FC236}">
              <a16:creationId xmlns:a16="http://schemas.microsoft.com/office/drawing/2014/main" id="{E816BC5F-0016-0088-6227-9657511482A6}"/>
            </a:ext>
          </a:extLst>
        </xdr:cNvPr>
        <xdr:cNvPicPr>
          <a:picLocks noChangeAspect="1"/>
        </xdr:cNvPicPr>
      </xdr:nvPicPr>
      <xdr:blipFill>
        <a:blip xmlns:r="http://schemas.openxmlformats.org/officeDocument/2006/relationships" r:embed="rId1"/>
        <a:stretch>
          <a:fillRect/>
        </a:stretch>
      </xdr:blipFill>
      <xdr:spPr>
        <a:xfrm>
          <a:off x="8610600" y="38101"/>
          <a:ext cx="4402667" cy="1219200"/>
        </a:xfrm>
        <a:prstGeom prst="rect">
          <a:avLst/>
        </a:prstGeom>
      </xdr:spPr>
    </xdr:pic>
    <xdr:clientData/>
  </xdr:twoCellAnchor>
  <xdr:twoCellAnchor editAs="oneCell">
    <xdr:from>
      <xdr:col>29</xdr:col>
      <xdr:colOff>542926</xdr:colOff>
      <xdr:row>164</xdr:row>
      <xdr:rowOff>123825</xdr:rowOff>
    </xdr:from>
    <xdr:to>
      <xdr:col>33</xdr:col>
      <xdr:colOff>266701</xdr:colOff>
      <xdr:row>176</xdr:row>
      <xdr:rowOff>6714</xdr:rowOff>
    </xdr:to>
    <xdr:pic>
      <xdr:nvPicPr>
        <xdr:cNvPr id="6" name="Picture 5">
          <a:extLst>
            <a:ext uri="{FF2B5EF4-FFF2-40B4-BE49-F238E27FC236}">
              <a16:creationId xmlns:a16="http://schemas.microsoft.com/office/drawing/2014/main" id="{4333CC41-1B40-DA5B-77CA-FCE43EA67CE3}"/>
            </a:ext>
          </a:extLst>
        </xdr:cNvPr>
        <xdr:cNvPicPr>
          <a:picLocks noChangeAspect="1"/>
        </xdr:cNvPicPr>
      </xdr:nvPicPr>
      <xdr:blipFill>
        <a:blip xmlns:r="http://schemas.openxmlformats.org/officeDocument/2006/relationships" r:embed="rId2"/>
        <a:stretch>
          <a:fillRect/>
        </a:stretch>
      </xdr:blipFill>
      <xdr:spPr>
        <a:xfrm>
          <a:off x="25441276" y="33937575"/>
          <a:ext cx="3143250" cy="2168889"/>
        </a:xfrm>
        <a:prstGeom prst="rect">
          <a:avLst/>
        </a:prstGeom>
      </xdr:spPr>
    </xdr:pic>
    <xdr:clientData/>
  </xdr:twoCellAnchor>
  <xdr:twoCellAnchor editAs="oneCell">
    <xdr:from>
      <xdr:col>17</xdr:col>
      <xdr:colOff>641735</xdr:colOff>
      <xdr:row>205</xdr:row>
      <xdr:rowOff>123825</xdr:rowOff>
    </xdr:from>
    <xdr:to>
      <xdr:col>25</xdr:col>
      <xdr:colOff>109507</xdr:colOff>
      <xdr:row>224</xdr:row>
      <xdr:rowOff>95822</xdr:rowOff>
    </xdr:to>
    <xdr:pic>
      <xdr:nvPicPr>
        <xdr:cNvPr id="5" name="Picture 4">
          <a:extLst>
            <a:ext uri="{FF2B5EF4-FFF2-40B4-BE49-F238E27FC236}">
              <a16:creationId xmlns:a16="http://schemas.microsoft.com/office/drawing/2014/main" id="{F3AAFD5F-5A98-71BE-8A0F-271F507D238D}"/>
            </a:ext>
          </a:extLst>
        </xdr:cNvPr>
        <xdr:cNvPicPr>
          <a:picLocks noChangeAspect="1"/>
        </xdr:cNvPicPr>
      </xdr:nvPicPr>
      <xdr:blipFill>
        <a:blip xmlns:r="http://schemas.openxmlformats.org/officeDocument/2006/relationships" r:embed="rId3"/>
        <a:stretch>
          <a:fillRect/>
        </a:stretch>
      </xdr:blipFill>
      <xdr:spPr>
        <a:xfrm>
          <a:off x="17015210" y="45577125"/>
          <a:ext cx="5344697" cy="3639122"/>
        </a:xfrm>
        <a:prstGeom prst="rect">
          <a:avLst/>
        </a:prstGeom>
      </xdr:spPr>
    </xdr:pic>
    <xdr:clientData/>
  </xdr:twoCellAnchor>
  <xdr:twoCellAnchor editAs="oneCell">
    <xdr:from>
      <xdr:col>8</xdr:col>
      <xdr:colOff>38100</xdr:colOff>
      <xdr:row>29</xdr:row>
      <xdr:rowOff>66675</xdr:rowOff>
    </xdr:from>
    <xdr:to>
      <xdr:col>14</xdr:col>
      <xdr:colOff>171450</xdr:colOff>
      <xdr:row>42</xdr:row>
      <xdr:rowOff>99172</xdr:rowOff>
    </xdr:to>
    <xdr:pic>
      <xdr:nvPicPr>
        <xdr:cNvPr id="8" name="Picture 7">
          <a:extLst>
            <a:ext uri="{FF2B5EF4-FFF2-40B4-BE49-F238E27FC236}">
              <a16:creationId xmlns:a16="http://schemas.microsoft.com/office/drawing/2014/main" id="{620AC746-2554-4928-8810-E7905EF07C1C}"/>
            </a:ext>
          </a:extLst>
        </xdr:cNvPr>
        <xdr:cNvPicPr>
          <a:picLocks noChangeAspect="1"/>
        </xdr:cNvPicPr>
      </xdr:nvPicPr>
      <xdr:blipFill>
        <a:blip xmlns:r="http://schemas.openxmlformats.org/officeDocument/2006/relationships" r:embed="rId4"/>
        <a:stretch>
          <a:fillRect/>
        </a:stretch>
      </xdr:blipFill>
      <xdr:spPr>
        <a:xfrm>
          <a:off x="9305925" y="10210800"/>
          <a:ext cx="5334000" cy="2604247"/>
        </a:xfrm>
        <a:prstGeom prst="rect">
          <a:avLst/>
        </a:prstGeom>
        <a:solidFill>
          <a:srgbClr val="92D050"/>
        </a:solidFill>
      </xdr:spPr>
    </xdr:pic>
    <xdr:clientData/>
  </xdr:twoCellAnchor>
  <xdr:twoCellAnchor editAs="oneCell">
    <xdr:from>
      <xdr:col>26</xdr:col>
      <xdr:colOff>0</xdr:colOff>
      <xdr:row>214</xdr:row>
      <xdr:rowOff>0</xdr:rowOff>
    </xdr:from>
    <xdr:to>
      <xdr:col>32</xdr:col>
      <xdr:colOff>676988</xdr:colOff>
      <xdr:row>223</xdr:row>
      <xdr:rowOff>28818</xdr:rowOff>
    </xdr:to>
    <xdr:pic>
      <xdr:nvPicPr>
        <xdr:cNvPr id="9" name="Picture 8">
          <a:extLst>
            <a:ext uri="{FF2B5EF4-FFF2-40B4-BE49-F238E27FC236}">
              <a16:creationId xmlns:a16="http://schemas.microsoft.com/office/drawing/2014/main" id="{B5774C9E-EE55-CD29-6EC8-67982560DDB2}"/>
            </a:ext>
          </a:extLst>
        </xdr:cNvPr>
        <xdr:cNvPicPr>
          <a:picLocks noChangeAspect="1"/>
        </xdr:cNvPicPr>
      </xdr:nvPicPr>
      <xdr:blipFill>
        <a:blip xmlns:r="http://schemas.openxmlformats.org/officeDocument/2006/relationships" r:embed="rId5"/>
        <a:stretch>
          <a:fillRect/>
        </a:stretch>
      </xdr:blipFill>
      <xdr:spPr>
        <a:xfrm>
          <a:off x="22431375" y="43491150"/>
          <a:ext cx="5106113" cy="1743318"/>
        </a:xfrm>
        <a:prstGeom prst="rect">
          <a:avLst/>
        </a:prstGeom>
      </xdr:spPr>
    </xdr:pic>
    <xdr:clientData/>
  </xdr:twoCellAnchor>
  <xdr:twoCellAnchor editAs="oneCell">
    <xdr:from>
      <xdr:col>26</xdr:col>
      <xdr:colOff>0</xdr:colOff>
      <xdr:row>229</xdr:row>
      <xdr:rowOff>0</xdr:rowOff>
    </xdr:from>
    <xdr:to>
      <xdr:col>30</xdr:col>
      <xdr:colOff>19474</xdr:colOff>
      <xdr:row>229</xdr:row>
      <xdr:rowOff>304843</xdr:rowOff>
    </xdr:to>
    <xdr:pic>
      <xdr:nvPicPr>
        <xdr:cNvPr id="10" name="Picture 9">
          <a:extLst>
            <a:ext uri="{FF2B5EF4-FFF2-40B4-BE49-F238E27FC236}">
              <a16:creationId xmlns:a16="http://schemas.microsoft.com/office/drawing/2014/main" id="{1DA5DEF6-A5A3-ED4E-8FE6-3212CBC80BD6}"/>
            </a:ext>
          </a:extLst>
        </xdr:cNvPr>
        <xdr:cNvPicPr>
          <a:picLocks noChangeAspect="1"/>
        </xdr:cNvPicPr>
      </xdr:nvPicPr>
      <xdr:blipFill>
        <a:blip xmlns:r="http://schemas.openxmlformats.org/officeDocument/2006/relationships" r:embed="rId6"/>
        <a:stretch>
          <a:fillRect/>
        </a:stretch>
      </xdr:blipFill>
      <xdr:spPr>
        <a:xfrm>
          <a:off x="23012400" y="46348650"/>
          <a:ext cx="3038899" cy="30484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133350</xdr:colOff>
      <xdr:row>1</xdr:row>
      <xdr:rowOff>1</xdr:rowOff>
    </xdr:from>
    <xdr:to>
      <xdr:col>13</xdr:col>
      <xdr:colOff>340146</xdr:colOff>
      <xdr:row>22</xdr:row>
      <xdr:rowOff>19051</xdr:rowOff>
    </xdr:to>
    <xdr:pic>
      <xdr:nvPicPr>
        <xdr:cNvPr id="2" name="Picture 1">
          <a:extLst>
            <a:ext uri="{FF2B5EF4-FFF2-40B4-BE49-F238E27FC236}">
              <a16:creationId xmlns:a16="http://schemas.microsoft.com/office/drawing/2014/main" id="{6B0070A9-1418-B7FE-031B-BACB9207F2AC}"/>
            </a:ext>
          </a:extLst>
        </xdr:cNvPr>
        <xdr:cNvPicPr>
          <a:picLocks noChangeAspect="1"/>
        </xdr:cNvPicPr>
      </xdr:nvPicPr>
      <xdr:blipFill>
        <a:blip xmlns:r="http://schemas.openxmlformats.org/officeDocument/2006/relationships" r:embed="rId1"/>
        <a:stretch>
          <a:fillRect/>
        </a:stretch>
      </xdr:blipFill>
      <xdr:spPr>
        <a:xfrm>
          <a:off x="2733675" y="190501"/>
          <a:ext cx="5693196" cy="40195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BE304-BA68-4863-86C8-DC3CE85BC33F}">
  <sheetPr codeName="Sheet1"/>
  <dimension ref="A1:R143"/>
  <sheetViews>
    <sheetView tabSelected="1" zoomScaleNormal="100" workbookViewId="0">
      <selection activeCell="A65" sqref="A65"/>
    </sheetView>
  </sheetViews>
  <sheetFormatPr defaultRowHeight="14.4" x14ac:dyDescent="0.3"/>
  <cols>
    <col min="2" max="2" width="11.6640625" customWidth="1"/>
    <col min="5" max="5" width="13.6640625" customWidth="1"/>
    <col min="6" max="6" width="11.109375" customWidth="1"/>
    <col min="7" max="7" width="10.88671875" customWidth="1"/>
    <col min="8" max="8" width="7.6640625" customWidth="1"/>
    <col min="9" max="9" width="13.109375" customWidth="1"/>
    <col min="10" max="10" width="11.109375" customWidth="1"/>
    <col min="11" max="11" width="10.88671875" customWidth="1"/>
    <col min="12" max="12" width="15.33203125" customWidth="1"/>
    <col min="13" max="13" width="17.88671875" customWidth="1"/>
    <col min="17" max="17" width="11.5546875" bestFit="1" customWidth="1"/>
    <col min="18" max="18" width="72.44140625" customWidth="1"/>
  </cols>
  <sheetData>
    <row r="1" spans="1:16" ht="30" x14ac:dyDescent="0.5">
      <c r="A1" s="325" t="s">
        <v>102</v>
      </c>
      <c r="B1" s="326"/>
      <c r="C1" s="326"/>
      <c r="D1" s="326"/>
      <c r="E1" s="326"/>
      <c r="F1" s="326"/>
      <c r="G1" s="326"/>
      <c r="H1" s="326"/>
      <c r="I1" s="326"/>
      <c r="J1" s="326"/>
      <c r="K1" s="326"/>
      <c r="L1" s="326"/>
      <c r="M1" s="327"/>
    </row>
    <row r="2" spans="1:16" x14ac:dyDescent="0.3">
      <c r="A2" s="110"/>
      <c r="B2" s="104"/>
      <c r="C2" s="104"/>
      <c r="D2" s="12"/>
      <c r="E2" s="12"/>
      <c r="F2" s="12"/>
      <c r="G2" s="12"/>
      <c r="H2" s="12"/>
      <c r="I2" s="12"/>
      <c r="J2" s="12"/>
      <c r="K2" s="12"/>
      <c r="L2" s="12"/>
      <c r="M2" s="69"/>
    </row>
    <row r="3" spans="1:16" ht="16.8" x14ac:dyDescent="0.3">
      <c r="A3" s="299" t="s">
        <v>155</v>
      </c>
      <c r="B3" s="275" t="str">
        <f>'Data Entry'!B7</f>
        <v>Sellers</v>
      </c>
      <c r="C3" s="111"/>
      <c r="D3" s="12"/>
      <c r="E3" s="12"/>
      <c r="F3" s="12"/>
      <c r="G3" s="12"/>
      <c r="H3" s="12"/>
      <c r="I3" s="12"/>
      <c r="J3" s="275" t="s">
        <v>172</v>
      </c>
      <c r="K3" s="275"/>
      <c r="L3" s="275" t="str">
        <f>'Data Entry'!B11</f>
        <v>Test2</v>
      </c>
      <c r="M3" s="112"/>
      <c r="P3" s="119"/>
    </row>
    <row r="4" spans="1:16" ht="15.6" x14ac:dyDescent="0.3">
      <c r="A4" s="299" t="s">
        <v>156</v>
      </c>
      <c r="B4" s="275" t="str">
        <f>'Data Entry'!B9</f>
        <v>Anna M</v>
      </c>
      <c r="C4" s="111"/>
      <c r="D4" s="12"/>
      <c r="E4" s="12"/>
      <c r="F4" s="12"/>
      <c r="G4" s="12"/>
      <c r="H4" s="12"/>
      <c r="I4" s="12"/>
      <c r="J4" s="275" t="s">
        <v>159</v>
      </c>
      <c r="K4" s="275"/>
      <c r="L4" s="275" t="str">
        <f>'Data Entry'!B13</f>
        <v>KY</v>
      </c>
      <c r="M4" s="112"/>
    </row>
    <row r="5" spans="1:16" ht="15.6" x14ac:dyDescent="0.3">
      <c r="A5" s="299" t="s">
        <v>157</v>
      </c>
      <c r="B5" s="300">
        <f>'Data Entry'!B15</f>
        <v>45763</v>
      </c>
      <c r="C5" s="111"/>
      <c r="D5" s="12"/>
      <c r="E5" s="12"/>
      <c r="F5" s="12"/>
      <c r="G5" s="12"/>
      <c r="H5" s="12"/>
      <c r="I5" s="12"/>
      <c r="J5" s="275" t="s">
        <v>1</v>
      </c>
      <c r="K5" s="275"/>
      <c r="L5" s="275"/>
      <c r="M5" s="112"/>
    </row>
    <row r="6" spans="1:16" ht="15.6" x14ac:dyDescent="0.3">
      <c r="A6" s="110"/>
      <c r="B6" s="104"/>
      <c r="C6" s="104"/>
      <c r="D6" s="12"/>
      <c r="E6" s="12"/>
      <c r="F6" s="12"/>
      <c r="G6" s="12"/>
      <c r="H6" s="12"/>
      <c r="I6" s="12"/>
      <c r="J6" s="275"/>
      <c r="K6" s="275"/>
      <c r="L6" s="275"/>
      <c r="M6" s="112"/>
    </row>
    <row r="7" spans="1:16" ht="15.6" x14ac:dyDescent="0.3">
      <c r="A7" s="110"/>
      <c r="B7" s="104"/>
      <c r="C7" s="104"/>
      <c r="D7" s="12"/>
      <c r="E7" s="12"/>
      <c r="F7" s="12"/>
      <c r="G7" s="12"/>
      <c r="H7" s="12"/>
      <c r="I7" s="12"/>
      <c r="J7" s="275" t="s">
        <v>158</v>
      </c>
      <c r="K7" s="275"/>
      <c r="L7" s="275" t="s">
        <v>1</v>
      </c>
      <c r="M7" s="112"/>
    </row>
    <row r="8" spans="1:16" x14ac:dyDescent="0.3">
      <c r="A8" s="110"/>
      <c r="B8" s="104"/>
      <c r="C8" s="104"/>
      <c r="D8" s="12"/>
      <c r="E8" s="12"/>
      <c r="F8" s="12"/>
      <c r="G8" s="12"/>
      <c r="H8" s="12"/>
      <c r="I8" s="12"/>
      <c r="J8" s="111" t="s">
        <v>1</v>
      </c>
      <c r="K8" s="111"/>
      <c r="L8" s="111" t="s">
        <v>1</v>
      </c>
      <c r="M8" s="69"/>
      <c r="N8" t="s">
        <v>1</v>
      </c>
      <c r="O8" t="s">
        <v>1</v>
      </c>
    </row>
    <row r="9" spans="1:16" ht="18" x14ac:dyDescent="0.35">
      <c r="A9" s="103" t="s">
        <v>160</v>
      </c>
      <c r="B9" s="108">
        <f>'Data Entry'!D22</f>
        <v>1</v>
      </c>
      <c r="C9" s="108"/>
      <c r="D9" s="108"/>
      <c r="E9" s="108"/>
      <c r="F9" s="108"/>
      <c r="G9" s="108"/>
      <c r="H9" s="113"/>
      <c r="I9" s="113"/>
      <c r="J9" s="111" t="s">
        <v>1</v>
      </c>
      <c r="K9" s="113"/>
      <c r="L9" s="113"/>
      <c r="M9" s="114"/>
      <c r="N9" t="s">
        <v>1</v>
      </c>
    </row>
    <row r="10" spans="1:16" ht="18" x14ac:dyDescent="0.35">
      <c r="A10" s="105"/>
      <c r="B10" s="108"/>
      <c r="C10" s="108"/>
      <c r="D10" s="106"/>
      <c r="E10" s="108"/>
      <c r="F10" s="108"/>
      <c r="G10" s="108"/>
      <c r="H10" s="113"/>
      <c r="I10" s="113"/>
      <c r="J10" s="117"/>
      <c r="K10" s="113"/>
      <c r="L10" s="113"/>
      <c r="M10" s="114"/>
    </row>
    <row r="11" spans="1:16" ht="18" x14ac:dyDescent="0.35">
      <c r="A11" s="103" t="s">
        <v>104</v>
      </c>
      <c r="B11" s="108"/>
      <c r="C11" s="108"/>
      <c r="D11" s="107"/>
      <c r="E11" s="108"/>
      <c r="F11" s="108">
        <f>'Data Entry'!D20</f>
        <v>600</v>
      </c>
      <c r="G11" s="109" t="s">
        <v>103</v>
      </c>
      <c r="H11" s="119" t="str" cm="1">
        <f t="array" ref="H11">LOOKUP(2,1/((Options!$D$3:$D$97='Data Entry'!D20)*(Options!$E$3:$E$97='S-Series Quote'!F12)),Options!$F$3:$F$97)</f>
        <v>105E</v>
      </c>
      <c r="I11" s="116" t="s">
        <v>1</v>
      </c>
      <c r="J11" s="113"/>
      <c r="K11" s="113"/>
      <c r="L11" s="113"/>
      <c r="M11" s="114"/>
    </row>
    <row r="12" spans="1:16" ht="18" x14ac:dyDescent="0.35">
      <c r="A12" s="103" t="s">
        <v>105</v>
      </c>
      <c r="B12" s="108"/>
      <c r="C12" s="108"/>
      <c r="D12" s="108"/>
      <c r="E12" s="108"/>
      <c r="F12" s="108">
        <f>'Data Entry'!D39</f>
        <v>150</v>
      </c>
      <c r="G12" s="108"/>
      <c r="H12" s="113"/>
      <c r="I12" s="107" t="s">
        <v>465</v>
      </c>
      <c r="J12" s="113"/>
      <c r="K12" s="113"/>
      <c r="L12" s="294">
        <f>'Data Entry'!D41</f>
        <v>100</v>
      </c>
      <c r="M12" s="114"/>
    </row>
    <row r="13" spans="1:16" ht="18" x14ac:dyDescent="0.35">
      <c r="A13" s="103" t="s">
        <v>106</v>
      </c>
      <c r="B13" s="108"/>
      <c r="C13" s="108"/>
      <c r="D13" s="108"/>
      <c r="E13" s="108"/>
      <c r="F13" s="252">
        <f>'Data Entry'!D28</f>
        <v>25107</v>
      </c>
      <c r="G13" s="108"/>
      <c r="H13" s="113"/>
      <c r="I13" s="107" t="s">
        <v>462</v>
      </c>
      <c r="J13" s="113"/>
      <c r="K13" s="113"/>
      <c r="L13" s="294" cm="1">
        <f t="array" ref="L13">_xlfn.XLOOKUP('Data Entry'!D20&amp;'Data Entry'!D39,Options!S231:S325&amp;Options!T231:T325,Options!U231:U325,0)</f>
        <v>20700</v>
      </c>
      <c r="M13" s="114"/>
    </row>
    <row r="14" spans="1:16" ht="18" x14ac:dyDescent="0.35">
      <c r="A14" s="103" t="s">
        <v>108</v>
      </c>
      <c r="B14" s="108"/>
      <c r="C14" s="108"/>
      <c r="D14" s="108"/>
      <c r="E14" s="108"/>
      <c r="F14" s="108" t="s">
        <v>107</v>
      </c>
      <c r="G14" s="108" t="str">
        <f>IF('Data Entry'!D24="YES"," &amp; NFPA 85","")</f>
        <v xml:space="preserve"> &amp; NFPA 85</v>
      </c>
      <c r="H14" s="113"/>
      <c r="I14" s="116"/>
      <c r="J14" s="113"/>
      <c r="K14" s="113"/>
      <c r="L14" s="113"/>
      <c r="M14" s="114"/>
    </row>
    <row r="15" spans="1:16" ht="15.6" x14ac:dyDescent="0.3">
      <c r="A15" s="115"/>
      <c r="B15" s="113"/>
      <c r="C15" s="113"/>
      <c r="D15" s="113"/>
      <c r="E15" s="113"/>
      <c r="F15" s="113"/>
      <c r="G15" s="113"/>
      <c r="H15" s="113"/>
      <c r="I15" s="116" t="s">
        <v>1</v>
      </c>
      <c r="J15" s="113"/>
      <c r="K15" s="113"/>
      <c r="L15" s="113"/>
      <c r="M15" s="114"/>
    </row>
    <row r="16" spans="1:16" ht="18" x14ac:dyDescent="0.35">
      <c r="A16" s="103" t="s">
        <v>165</v>
      </c>
      <c r="B16" s="113"/>
      <c r="C16" s="113"/>
      <c r="D16" s="113"/>
      <c r="E16" s="113"/>
      <c r="F16" s="113"/>
      <c r="G16" s="298" t="str">
        <f>LEFT('Data Entry'!D34,3)</f>
        <v>460</v>
      </c>
      <c r="H16" s="108" t="s">
        <v>162</v>
      </c>
      <c r="I16" s="298">
        <v>60</v>
      </c>
      <c r="J16" s="108" t="s">
        <v>163</v>
      </c>
      <c r="K16" s="298" t="str">
        <f>RIGHT('Data Entry'!D34,1)</f>
        <v>3</v>
      </c>
      <c r="L16" s="108" t="s">
        <v>164</v>
      </c>
      <c r="M16" s="114"/>
    </row>
    <row r="17" spans="1:14" ht="18" x14ac:dyDescent="0.35">
      <c r="A17" s="118"/>
      <c r="B17" s="113"/>
      <c r="C17" s="113"/>
      <c r="D17" s="113"/>
      <c r="E17" s="113"/>
      <c r="F17" s="113"/>
      <c r="G17" s="108"/>
      <c r="H17" s="108"/>
      <c r="I17" s="108"/>
      <c r="J17" s="108"/>
      <c r="K17" s="108"/>
      <c r="L17" s="108"/>
      <c r="M17" s="114"/>
    </row>
    <row r="18" spans="1:14" ht="18" x14ac:dyDescent="0.35">
      <c r="A18" s="103" t="s">
        <v>166</v>
      </c>
      <c r="B18" s="113"/>
      <c r="C18" s="113"/>
      <c r="D18" s="113"/>
      <c r="E18" s="108" t="str">
        <f>'Data Entry'!D58</f>
        <v>Dual Fuel</v>
      </c>
      <c r="F18" s="108" t="s">
        <v>167</v>
      </c>
      <c r="G18" s="108" t="s">
        <v>441</v>
      </c>
      <c r="H18" s="108" t="s">
        <v>1</v>
      </c>
      <c r="I18" s="295">
        <f>VLOOKUP(E18,'Data Validation Tables'!I6:J8,2,FALSE)</f>
        <v>1000</v>
      </c>
      <c r="J18" s="108" t="s">
        <v>109</v>
      </c>
      <c r="K18" s="298">
        <f>'Data Entry'!D60</f>
        <v>5</v>
      </c>
      <c r="L18" s="108" t="s">
        <v>168</v>
      </c>
      <c r="M18" s="266"/>
    </row>
    <row r="19" spans="1:14" ht="18" x14ac:dyDescent="0.35">
      <c r="A19" s="118"/>
      <c r="B19" s="113"/>
      <c r="C19" s="113"/>
      <c r="D19" s="113"/>
      <c r="E19" s="12"/>
      <c r="F19" s="296"/>
      <c r="G19" s="108" t="s">
        <v>16</v>
      </c>
      <c r="H19" s="108"/>
      <c r="I19" s="297">
        <f>VLOOKUP(E18,'Data Validation Tables'!I10:J12,2,FALSE)</f>
        <v>2500</v>
      </c>
      <c r="J19" s="108" t="s">
        <v>109</v>
      </c>
      <c r="K19" s="108"/>
      <c r="L19" s="108"/>
      <c r="M19" s="114"/>
    </row>
    <row r="20" spans="1:14" ht="23.4" thickBot="1" x14ac:dyDescent="0.45">
      <c r="A20" s="272" t="s">
        <v>110</v>
      </c>
      <c r="B20" s="164"/>
      <c r="C20" s="164"/>
      <c r="D20" s="164"/>
      <c r="E20" s="164"/>
      <c r="F20" s="164"/>
      <c r="G20" s="164"/>
      <c r="H20" s="164"/>
      <c r="I20" s="164"/>
      <c r="J20" s="164"/>
      <c r="K20" s="164"/>
      <c r="L20" s="164"/>
      <c r="M20" s="165"/>
    </row>
    <row r="21" spans="1:14" ht="15" thickTop="1" x14ac:dyDescent="0.3">
      <c r="A21" s="58"/>
      <c r="B21" s="70"/>
      <c r="C21" s="70"/>
      <c r="D21" s="70"/>
      <c r="E21" s="70"/>
      <c r="F21" s="70"/>
      <c r="G21" s="70"/>
      <c r="H21" s="70"/>
      <c r="I21" s="70"/>
      <c r="J21" s="70"/>
      <c r="K21" s="70"/>
      <c r="L21" s="70"/>
      <c r="M21" s="59"/>
    </row>
    <row r="22" spans="1:14" x14ac:dyDescent="0.3">
      <c r="A22" s="60"/>
      <c r="B22" s="66"/>
      <c r="C22" s="70"/>
      <c r="D22" s="70"/>
      <c r="E22" s="70"/>
      <c r="F22" s="66"/>
      <c r="G22" s="71"/>
      <c r="H22" s="66"/>
      <c r="I22" s="66"/>
      <c r="J22" s="70"/>
      <c r="K22" s="70"/>
      <c r="L22" s="70"/>
      <c r="M22" s="59"/>
    </row>
    <row r="23" spans="1:14" x14ac:dyDescent="0.3">
      <c r="A23" s="61"/>
      <c r="B23" s="66"/>
      <c r="C23" s="66"/>
      <c r="D23" s="66"/>
      <c r="E23" s="66"/>
      <c r="F23" s="70"/>
      <c r="G23" s="71"/>
      <c r="H23" s="66"/>
      <c r="I23" s="66"/>
      <c r="J23" s="66"/>
      <c r="K23" s="70"/>
      <c r="L23" s="70"/>
      <c r="M23" s="59"/>
    </row>
    <row r="24" spans="1:14" x14ac:dyDescent="0.3">
      <c r="A24" s="62"/>
      <c r="B24" s="66"/>
      <c r="C24" s="70"/>
      <c r="D24" s="70"/>
      <c r="E24" s="70"/>
      <c r="F24" s="66"/>
      <c r="G24" s="71"/>
      <c r="H24" s="66"/>
      <c r="I24" s="66"/>
      <c r="J24" s="66"/>
      <c r="K24" s="70"/>
      <c r="L24" s="70"/>
      <c r="M24" s="59"/>
    </row>
    <row r="25" spans="1:14" x14ac:dyDescent="0.3">
      <c r="A25" s="60"/>
      <c r="B25" s="66"/>
      <c r="C25" s="66"/>
      <c r="D25" s="66"/>
      <c r="E25" s="66"/>
      <c r="F25" s="66"/>
      <c r="G25" s="71"/>
      <c r="H25" s="66"/>
      <c r="I25" s="66"/>
      <c r="J25" s="66"/>
      <c r="K25" s="70"/>
      <c r="L25" s="70"/>
      <c r="M25" s="59"/>
    </row>
    <row r="26" spans="1:14" x14ac:dyDescent="0.3">
      <c r="A26" s="61"/>
      <c r="B26" s="66"/>
      <c r="C26" s="66"/>
      <c r="D26" s="66"/>
      <c r="E26" s="66"/>
      <c r="F26" s="66"/>
      <c r="G26" s="72"/>
      <c r="H26" s="66"/>
      <c r="I26" s="66"/>
      <c r="J26" s="67"/>
      <c r="K26" s="70"/>
      <c r="L26" s="70"/>
      <c r="M26" s="59"/>
    </row>
    <row r="27" spans="1:14" x14ac:dyDescent="0.3">
      <c r="A27" s="61"/>
      <c r="B27" s="66"/>
      <c r="C27" s="66"/>
      <c r="D27" s="66"/>
      <c r="E27" s="66"/>
      <c r="F27" s="70"/>
      <c r="G27" s="73"/>
      <c r="H27" s="66"/>
      <c r="I27" s="66"/>
      <c r="J27" s="66"/>
      <c r="K27" s="70"/>
      <c r="L27" s="70"/>
      <c r="M27" s="59"/>
    </row>
    <row r="28" spans="1:14" x14ac:dyDescent="0.3">
      <c r="A28" s="61"/>
      <c r="B28" s="66"/>
      <c r="C28" s="66"/>
      <c r="D28" s="66"/>
      <c r="E28" s="70"/>
      <c r="F28" s="70"/>
      <c r="G28" s="73"/>
      <c r="H28" s="66"/>
      <c r="I28" s="66"/>
      <c r="J28" s="66"/>
      <c r="K28" s="70"/>
      <c r="L28" s="70"/>
      <c r="M28" s="63"/>
    </row>
    <row r="29" spans="1:14" x14ac:dyDescent="0.3">
      <c r="A29" s="61"/>
      <c r="B29" s="66"/>
      <c r="C29" s="66"/>
      <c r="D29" s="66"/>
      <c r="E29" s="70"/>
      <c r="F29" s="70"/>
      <c r="G29" s="73"/>
      <c r="H29" s="66"/>
      <c r="I29" s="66"/>
      <c r="J29" s="66"/>
      <c r="K29" s="70"/>
      <c r="L29" s="70"/>
      <c r="M29" s="63"/>
    </row>
    <row r="30" spans="1:14" x14ac:dyDescent="0.3">
      <c r="A30" s="58"/>
      <c r="B30" s="66"/>
      <c r="C30" s="66"/>
      <c r="D30" s="66"/>
      <c r="E30" s="70"/>
      <c r="F30" s="70"/>
      <c r="G30" s="73"/>
      <c r="H30" s="66"/>
      <c r="I30" s="66"/>
      <c r="J30" s="66"/>
      <c r="K30" s="70"/>
      <c r="L30" s="70"/>
      <c r="M30" s="63"/>
      <c r="N30" t="s">
        <v>1</v>
      </c>
    </row>
    <row r="31" spans="1:14" x14ac:dyDescent="0.3">
      <c r="A31" s="58"/>
      <c r="B31" s="66"/>
      <c r="C31" s="66"/>
      <c r="D31" s="66"/>
      <c r="E31" s="70"/>
      <c r="F31" s="70"/>
      <c r="G31" s="73"/>
      <c r="H31" s="66"/>
      <c r="I31" s="66"/>
      <c r="J31" s="66"/>
      <c r="K31" s="70"/>
      <c r="L31" s="70"/>
      <c r="M31" s="59"/>
    </row>
    <row r="32" spans="1:14" x14ac:dyDescent="0.3">
      <c r="A32" s="64"/>
      <c r="B32" s="66"/>
      <c r="C32" s="66"/>
      <c r="D32" s="66"/>
      <c r="E32" s="66"/>
      <c r="F32" s="66"/>
      <c r="G32" s="73"/>
      <c r="H32" s="66"/>
      <c r="I32" s="66"/>
      <c r="J32" s="66"/>
      <c r="K32" s="70"/>
      <c r="L32" s="70"/>
      <c r="M32" s="59"/>
    </row>
    <row r="33" spans="1:14" x14ac:dyDescent="0.3">
      <c r="A33" s="64"/>
      <c r="B33" s="66"/>
      <c r="C33" s="70"/>
      <c r="D33" s="70"/>
      <c r="E33" s="70"/>
      <c r="F33" s="70"/>
      <c r="G33" s="73"/>
      <c r="H33" s="66"/>
      <c r="I33" s="66"/>
      <c r="J33" s="66"/>
      <c r="K33" s="70"/>
      <c r="L33" s="70"/>
      <c r="M33" s="59"/>
    </row>
    <row r="34" spans="1:14" x14ac:dyDescent="0.3">
      <c r="A34" s="60"/>
      <c r="B34" s="66"/>
      <c r="C34" s="70"/>
      <c r="D34" s="70"/>
      <c r="E34" s="70"/>
      <c r="F34" s="70"/>
      <c r="G34" s="73"/>
      <c r="H34" s="66"/>
      <c r="I34" s="70"/>
      <c r="J34" s="70"/>
      <c r="K34" s="70"/>
      <c r="L34" s="70"/>
      <c r="M34" s="59"/>
    </row>
    <row r="35" spans="1:14" x14ac:dyDescent="0.3">
      <c r="A35" s="60"/>
      <c r="B35" s="66"/>
      <c r="C35" s="70"/>
      <c r="D35" s="70"/>
      <c r="E35" s="70"/>
      <c r="F35" s="70"/>
      <c r="G35" s="74"/>
      <c r="H35" s="66"/>
      <c r="I35" s="70"/>
      <c r="J35" s="70"/>
      <c r="K35" s="70"/>
      <c r="L35" s="70"/>
      <c r="M35" s="59"/>
      <c r="N35" t="s">
        <v>1</v>
      </c>
    </row>
    <row r="36" spans="1:14" x14ac:dyDescent="0.3">
      <c r="A36" s="68"/>
      <c r="B36" s="12"/>
      <c r="C36" s="12"/>
      <c r="D36" s="12"/>
      <c r="E36" s="12"/>
      <c r="F36" s="12"/>
      <c r="G36" s="12"/>
      <c r="H36" s="12"/>
      <c r="I36" s="12"/>
      <c r="J36" s="12"/>
      <c r="K36" s="12"/>
      <c r="L36" s="12"/>
      <c r="M36" s="69"/>
    </row>
    <row r="37" spans="1:14" x14ac:dyDescent="0.3">
      <c r="A37" s="68"/>
      <c r="B37" s="12"/>
      <c r="C37" s="12"/>
      <c r="D37" s="12"/>
      <c r="E37" s="12"/>
      <c r="F37" s="12"/>
      <c r="G37" s="12"/>
      <c r="H37" s="12"/>
      <c r="I37" s="12"/>
      <c r="J37" s="12"/>
      <c r="K37" s="12"/>
      <c r="L37" s="12"/>
      <c r="M37" s="69"/>
    </row>
    <row r="38" spans="1:14" x14ac:dyDescent="0.3">
      <c r="A38" s="68"/>
      <c r="B38" s="12"/>
      <c r="C38" s="12"/>
      <c r="D38" s="12"/>
      <c r="E38" s="12"/>
      <c r="F38" s="12"/>
      <c r="G38" s="12"/>
      <c r="H38" s="12"/>
      <c r="I38" s="12"/>
      <c r="J38" s="12"/>
      <c r="K38" s="12"/>
      <c r="L38" s="12"/>
      <c r="M38" s="69"/>
    </row>
    <row r="39" spans="1:14" x14ac:dyDescent="0.3">
      <c r="A39" s="68"/>
      <c r="B39" s="12"/>
      <c r="C39" s="12"/>
      <c r="D39" s="12"/>
      <c r="E39" s="12"/>
      <c r="F39" s="12"/>
      <c r="G39" s="12"/>
      <c r="H39" s="12"/>
      <c r="I39" s="12"/>
      <c r="J39" s="12"/>
      <c r="K39" s="12"/>
      <c r="L39" s="12"/>
      <c r="M39" s="69"/>
    </row>
    <row r="40" spans="1:14" x14ac:dyDescent="0.3">
      <c r="A40" s="68"/>
      <c r="B40" s="12"/>
      <c r="C40" s="12"/>
      <c r="D40" s="12"/>
      <c r="E40" s="12"/>
      <c r="F40" s="12"/>
      <c r="G40" s="12"/>
      <c r="H40" s="12"/>
      <c r="I40" s="12"/>
      <c r="J40" s="12"/>
      <c r="K40" s="12"/>
      <c r="L40" s="12"/>
      <c r="M40" s="69"/>
    </row>
    <row r="41" spans="1:14" ht="20.25" customHeight="1" x14ac:dyDescent="0.3">
      <c r="A41" s="68"/>
      <c r="B41" s="12"/>
      <c r="C41" s="12"/>
      <c r="D41" s="12"/>
      <c r="E41" s="12"/>
      <c r="F41" s="12"/>
      <c r="G41" s="12"/>
      <c r="H41" s="12"/>
      <c r="I41" s="12"/>
      <c r="J41" s="12"/>
      <c r="K41" s="12"/>
      <c r="L41" s="12"/>
      <c r="M41" s="69"/>
    </row>
    <row r="42" spans="1:14" ht="23.4" thickBot="1" x14ac:dyDescent="0.45">
      <c r="A42" s="272" t="s">
        <v>197</v>
      </c>
      <c r="B42" s="164"/>
      <c r="C42" s="164"/>
      <c r="D42" s="164"/>
      <c r="E42" s="164"/>
      <c r="F42" s="164"/>
      <c r="G42" s="164"/>
      <c r="H42" s="164"/>
      <c r="I42" s="164"/>
      <c r="J42" s="164"/>
      <c r="K42" s="164"/>
      <c r="L42" s="164"/>
      <c r="M42" s="165"/>
    </row>
    <row r="43" spans="1:14" ht="15" thickTop="1" x14ac:dyDescent="0.3">
      <c r="A43" s="68"/>
      <c r="B43" s="12"/>
      <c r="C43" s="12"/>
      <c r="D43" s="12"/>
      <c r="E43" s="12"/>
      <c r="F43" s="242" t="s">
        <v>414</v>
      </c>
      <c r="G43" s="12"/>
      <c r="H43" s="12"/>
      <c r="I43" s="12"/>
      <c r="J43" s="12"/>
      <c r="K43" s="12"/>
      <c r="L43" s="12"/>
      <c r="M43" s="261" t="s">
        <v>414</v>
      </c>
    </row>
    <row r="44" spans="1:14" x14ac:dyDescent="0.3">
      <c r="A44" s="68" t="s">
        <v>194</v>
      </c>
      <c r="B44" s="12"/>
      <c r="C44" s="12"/>
      <c r="D44" s="12" t="str">
        <f>K91</f>
        <v>YES</v>
      </c>
      <c r="E44" s="12"/>
      <c r="F44" s="243">
        <f>M91*$M$140</f>
        <v>975</v>
      </c>
      <c r="G44" s="12"/>
      <c r="H44" s="12"/>
      <c r="I44" s="14" t="s">
        <v>26</v>
      </c>
      <c r="J44" s="12"/>
      <c r="K44" s="12"/>
      <c r="L44" s="12"/>
      <c r="M44" s="69"/>
    </row>
    <row r="45" spans="1:14" x14ac:dyDescent="0.3">
      <c r="A45" s="68" t="s">
        <v>363</v>
      </c>
      <c r="B45" s="12"/>
      <c r="C45" s="12"/>
      <c r="D45" s="12" t="str">
        <f t="shared" ref="D45:D46" si="0">K92</f>
        <v>YES</v>
      </c>
      <c r="E45" s="12"/>
      <c r="F45" s="243">
        <f>M92*M140</f>
        <v>7865</v>
      </c>
      <c r="G45" s="12"/>
      <c r="H45" s="12"/>
      <c r="I45" s="12" t="s">
        <v>173</v>
      </c>
      <c r="J45" s="12"/>
      <c r="K45" s="12" t="str">
        <f t="shared" ref="K45:K50" si="1">K105</f>
        <v>NO</v>
      </c>
      <c r="L45" s="12"/>
      <c r="M45" s="244">
        <f>M105*M140</f>
        <v>0</v>
      </c>
    </row>
    <row r="46" spans="1:14" x14ac:dyDescent="0.3">
      <c r="A46" s="68" t="s">
        <v>193</v>
      </c>
      <c r="B46" s="12"/>
      <c r="C46" s="12"/>
      <c r="D46" s="12" t="str">
        <f t="shared" si="0"/>
        <v>YES</v>
      </c>
      <c r="E46" s="12"/>
      <c r="F46" s="243">
        <f>M93*M140</f>
        <v>1430</v>
      </c>
      <c r="G46" s="12"/>
      <c r="H46" s="12"/>
      <c r="I46" s="12" t="s">
        <v>361</v>
      </c>
      <c r="J46" s="12"/>
      <c r="K46" s="12" t="str">
        <f t="shared" si="1"/>
        <v>Nema 12</v>
      </c>
      <c r="L46" s="12"/>
      <c r="M46" s="244">
        <f>M106*M140</f>
        <v>2600</v>
      </c>
    </row>
    <row r="47" spans="1:14" x14ac:dyDescent="0.3">
      <c r="A47" s="245" t="s">
        <v>1</v>
      </c>
      <c r="B47" s="12"/>
      <c r="C47" s="12" t="s">
        <v>1</v>
      </c>
      <c r="D47" s="12"/>
      <c r="E47" s="12"/>
      <c r="F47" s="12"/>
      <c r="G47" s="12"/>
      <c r="H47" s="12"/>
      <c r="I47" s="12" t="s">
        <v>175</v>
      </c>
      <c r="J47" s="12"/>
      <c r="K47" s="12" t="str">
        <f t="shared" si="1"/>
        <v>YES</v>
      </c>
      <c r="L47" s="12"/>
      <c r="M47" s="244">
        <f>M107*M140</f>
        <v>1040</v>
      </c>
    </row>
    <row r="48" spans="1:14" x14ac:dyDescent="0.3">
      <c r="A48" s="245" t="s">
        <v>11</v>
      </c>
      <c r="B48" s="12"/>
      <c r="C48" s="12"/>
      <c r="D48" s="12"/>
      <c r="E48" s="12"/>
      <c r="F48" s="12"/>
      <c r="G48" s="12"/>
      <c r="H48" s="12"/>
      <c r="I48" s="12" t="s">
        <v>176</v>
      </c>
      <c r="J48" s="12"/>
      <c r="K48" s="12" t="str">
        <f t="shared" si="1"/>
        <v>NO</v>
      </c>
      <c r="L48" s="12"/>
      <c r="M48" s="244">
        <f>M108*M140</f>
        <v>0</v>
      </c>
    </row>
    <row r="49" spans="1:13" x14ac:dyDescent="0.3">
      <c r="A49" s="68" t="s">
        <v>483</v>
      </c>
      <c r="B49" s="12"/>
      <c r="C49" s="12"/>
      <c r="D49" s="246" t="str">
        <f>K94</f>
        <v>NO</v>
      </c>
      <c r="E49" s="12"/>
      <c r="F49" s="243">
        <f>M94*$M$140</f>
        <v>0</v>
      </c>
      <c r="G49" s="12"/>
      <c r="H49" s="12"/>
      <c r="I49" s="12" t="s">
        <v>177</v>
      </c>
      <c r="J49" s="12"/>
      <c r="K49" s="12" t="str">
        <f t="shared" si="1"/>
        <v>YES</v>
      </c>
      <c r="L49" s="12"/>
      <c r="M49" s="244">
        <f>M109*M140</f>
        <v>1495</v>
      </c>
    </row>
    <row r="50" spans="1:13" x14ac:dyDescent="0.3">
      <c r="A50" s="68" t="s">
        <v>372</v>
      </c>
      <c r="B50" s="12"/>
      <c r="C50" s="12"/>
      <c r="D50" s="246" t="str">
        <f t="shared" ref="D50:D55" si="2">K95</f>
        <v xml:space="preserve">Automatic  </v>
      </c>
      <c r="E50" s="12"/>
      <c r="F50" s="243">
        <f>M95*M140</f>
        <v>4582.5</v>
      </c>
      <c r="G50" s="12"/>
      <c r="H50" s="12"/>
      <c r="I50" s="12" t="s">
        <v>482</v>
      </c>
      <c r="J50" s="12"/>
      <c r="K50" s="12" t="str">
        <f t="shared" si="1"/>
        <v>NO</v>
      </c>
      <c r="L50" s="12"/>
      <c r="M50" s="244">
        <f>M110*M140</f>
        <v>0</v>
      </c>
    </row>
    <row r="51" spans="1:13" x14ac:dyDescent="0.3">
      <c r="A51" s="6" t="s">
        <v>359</v>
      </c>
      <c r="B51" s="12"/>
      <c r="C51" s="12"/>
      <c r="D51" s="246" t="str">
        <f t="shared" si="2"/>
        <v>YES</v>
      </c>
      <c r="E51" s="12"/>
      <c r="F51" s="243">
        <f>M96*M140</f>
        <v>1625</v>
      </c>
      <c r="G51" s="12"/>
      <c r="H51" s="12"/>
      <c r="I51" s="12"/>
      <c r="J51" s="12"/>
      <c r="K51" s="12"/>
      <c r="L51" s="12"/>
      <c r="M51" s="69"/>
    </row>
    <row r="52" spans="1:13" x14ac:dyDescent="0.3">
      <c r="A52" s="6" t="s">
        <v>461</v>
      </c>
      <c r="B52" s="12"/>
      <c r="C52" s="12"/>
      <c r="D52" s="246" t="str">
        <f t="shared" si="2"/>
        <v>YES</v>
      </c>
      <c r="E52" s="12"/>
      <c r="F52" s="243">
        <f>M97*M140</f>
        <v>1170</v>
      </c>
      <c r="G52" s="12"/>
      <c r="H52" s="12"/>
      <c r="I52" s="14" t="s">
        <v>33</v>
      </c>
      <c r="J52" s="12"/>
      <c r="K52" s="12"/>
      <c r="L52" s="12"/>
      <c r="M52" s="69"/>
    </row>
    <row r="53" spans="1:13" x14ac:dyDescent="0.3">
      <c r="A53" s="6" t="s">
        <v>189</v>
      </c>
      <c r="B53" s="12"/>
      <c r="C53" s="12"/>
      <c r="D53" s="246" t="str">
        <f t="shared" si="2"/>
        <v>YES</v>
      </c>
      <c r="E53" s="12"/>
      <c r="F53" s="243">
        <f>M140*M98</f>
        <v>6348.2250000000004</v>
      </c>
      <c r="G53" s="12"/>
      <c r="H53" s="12"/>
      <c r="I53" s="12" t="s">
        <v>362</v>
      </c>
      <c r="J53" s="12"/>
      <c r="K53" s="12" t="str">
        <f>'S-Series Quote'!K111</f>
        <v>YES</v>
      </c>
      <c r="L53" s="12"/>
      <c r="M53" s="244">
        <f>M111*M140</f>
        <v>7670</v>
      </c>
    </row>
    <row r="54" spans="1:13" x14ac:dyDescent="0.3">
      <c r="A54" s="6" t="s">
        <v>360</v>
      </c>
      <c r="B54" s="12"/>
      <c r="C54" s="12"/>
      <c r="D54" s="246" t="str">
        <f t="shared" si="2"/>
        <v>YES</v>
      </c>
      <c r="E54" s="12"/>
      <c r="F54" s="243">
        <f>M99*M140</f>
        <v>780</v>
      </c>
      <c r="G54" s="12"/>
      <c r="H54" s="12"/>
      <c r="I54" s="12" t="s">
        <v>179</v>
      </c>
      <c r="J54" s="12"/>
      <c r="K54" s="12" t="str">
        <f>'S-Series Quote'!K112</f>
        <v>YES</v>
      </c>
      <c r="L54" s="12"/>
      <c r="M54" s="244">
        <f>M112*M140</f>
        <v>12545</v>
      </c>
    </row>
    <row r="55" spans="1:13" x14ac:dyDescent="0.3">
      <c r="A55" s="6" t="s">
        <v>44</v>
      </c>
      <c r="B55" s="12"/>
      <c r="C55" s="12"/>
      <c r="D55" s="246" t="str">
        <f t="shared" si="2"/>
        <v>YES - LINKAGE</v>
      </c>
      <c r="E55" s="12"/>
      <c r="F55" s="243">
        <f>M100*M140</f>
        <v>3055</v>
      </c>
      <c r="G55" s="12"/>
      <c r="H55" s="12"/>
      <c r="I55" s="12" t="s">
        <v>180</v>
      </c>
      <c r="J55" s="12"/>
      <c r="K55" s="12" t="str">
        <f>'S-Series Quote'!K113</f>
        <v>YES - Float</v>
      </c>
      <c r="L55" s="12"/>
      <c r="M55" s="244">
        <f>M113*M140</f>
        <v>975</v>
      </c>
    </row>
    <row r="56" spans="1:13" x14ac:dyDescent="0.3">
      <c r="A56" s="6" t="s">
        <v>192</v>
      </c>
      <c r="B56" s="12"/>
      <c r="C56" s="12"/>
      <c r="D56" s="246" t="str">
        <f>'S-Series Quote'!K101</f>
        <v>YES</v>
      </c>
      <c r="E56" s="12"/>
      <c r="F56" s="243">
        <f>M101*M140</f>
        <v>12034.75</v>
      </c>
      <c r="G56" s="12"/>
      <c r="H56" s="12"/>
      <c r="I56" s="12" t="s">
        <v>181</v>
      </c>
      <c r="J56" s="12"/>
      <c r="K56" s="12" t="str">
        <f>'S-Series Quote'!K114</f>
        <v>YES</v>
      </c>
      <c r="L56" s="12"/>
      <c r="M56" s="244">
        <f>M114*M140</f>
        <v>1820</v>
      </c>
    </row>
    <row r="57" spans="1:13" x14ac:dyDescent="0.3">
      <c r="A57" s="12"/>
      <c r="B57" s="12"/>
      <c r="C57" s="12"/>
      <c r="D57" s="12"/>
      <c r="E57" s="12"/>
      <c r="F57" s="12"/>
      <c r="G57" s="12"/>
      <c r="H57" s="12"/>
      <c r="I57" s="12" t="s">
        <v>183</v>
      </c>
      <c r="J57" s="12"/>
      <c r="K57" s="12" t="str">
        <f>'S-Series Quote'!K115</f>
        <v>NO</v>
      </c>
      <c r="L57" s="12"/>
      <c r="M57" s="244">
        <f>M115*M140</f>
        <v>0</v>
      </c>
    </row>
    <row r="58" spans="1:13" x14ac:dyDescent="0.3">
      <c r="A58" s="12"/>
      <c r="B58" s="12"/>
      <c r="C58" s="12"/>
      <c r="D58" s="12"/>
      <c r="E58" s="12"/>
      <c r="F58" s="12"/>
      <c r="G58" s="12"/>
      <c r="H58" s="12"/>
      <c r="I58" s="12"/>
      <c r="J58" s="12"/>
      <c r="K58" s="12"/>
      <c r="L58" s="12"/>
      <c r="M58" s="69"/>
    </row>
    <row r="59" spans="1:13" x14ac:dyDescent="0.3">
      <c r="A59" s="247" t="s">
        <v>23</v>
      </c>
      <c r="B59" s="12"/>
      <c r="C59" s="12"/>
      <c r="D59" s="12"/>
      <c r="E59" s="12"/>
      <c r="F59" s="12"/>
      <c r="G59" s="12"/>
      <c r="H59" s="12"/>
      <c r="I59" s="12"/>
      <c r="J59" s="12"/>
      <c r="K59" s="12"/>
      <c r="L59" s="12"/>
      <c r="M59" s="69"/>
    </row>
    <row r="60" spans="1:13" x14ac:dyDescent="0.3">
      <c r="A60" s="68" t="s">
        <v>185</v>
      </c>
      <c r="B60" s="12"/>
      <c r="C60" s="12"/>
      <c r="D60" s="12" t="str">
        <f>K103</f>
        <v>YES</v>
      </c>
      <c r="E60" s="12"/>
      <c r="F60" s="243">
        <f>M103*M140</f>
        <v>65</v>
      </c>
      <c r="G60" s="12"/>
      <c r="H60" s="12"/>
      <c r="I60" s="13" t="s">
        <v>415</v>
      </c>
      <c r="J60" s="12"/>
      <c r="K60" s="12"/>
      <c r="L60" s="13"/>
      <c r="M60" s="248">
        <f>SUM(F44:F62,M45:M57)</f>
        <v>78085.475000000006</v>
      </c>
    </row>
    <row r="61" spans="1:13" x14ac:dyDescent="0.3">
      <c r="A61" s="68" t="s">
        <v>186</v>
      </c>
      <c r="B61" s="12"/>
      <c r="C61" s="12"/>
      <c r="D61" s="12" t="str">
        <f>K104</f>
        <v>YES</v>
      </c>
      <c r="E61" s="12"/>
      <c r="F61" s="243">
        <f>M104*M140</f>
        <v>5590</v>
      </c>
      <c r="G61" s="12"/>
      <c r="H61" s="12"/>
      <c r="I61" s="12"/>
      <c r="J61" s="12"/>
      <c r="K61" s="12"/>
      <c r="L61" s="12"/>
      <c r="M61" s="69"/>
    </row>
    <row r="62" spans="1:13" x14ac:dyDescent="0.3">
      <c r="A62" s="68" t="s">
        <v>412</v>
      </c>
      <c r="B62" s="12"/>
      <c r="C62" s="12"/>
      <c r="D62" s="12" t="str">
        <f>IF(K102="Dual Fuel","YES","NO")</f>
        <v>YES</v>
      </c>
      <c r="E62" s="12"/>
      <c r="F62" s="243">
        <f>M102*$M140</f>
        <v>4420</v>
      </c>
      <c r="G62" s="12"/>
      <c r="H62" s="12"/>
      <c r="I62" s="262" t="s">
        <v>417</v>
      </c>
      <c r="J62" s="262"/>
      <c r="K62" s="12"/>
      <c r="L62" s="242">
        <f>B9</f>
        <v>1</v>
      </c>
      <c r="M62" s="248">
        <f>M60*B9</f>
        <v>78085.475000000006</v>
      </c>
    </row>
    <row r="63" spans="1:13" ht="23.4" thickBot="1" x14ac:dyDescent="0.45">
      <c r="A63" s="272" t="s">
        <v>111</v>
      </c>
      <c r="B63" s="164"/>
      <c r="C63" s="164"/>
      <c r="D63" s="164"/>
      <c r="E63" s="164"/>
      <c r="F63" s="164"/>
      <c r="G63" s="164"/>
      <c r="H63" s="164"/>
      <c r="I63" s="164"/>
      <c r="J63" s="164"/>
      <c r="K63" s="164"/>
      <c r="L63" s="164"/>
      <c r="M63" s="165"/>
    </row>
    <row r="64" spans="1:13" ht="16.2" thickTop="1" x14ac:dyDescent="0.3">
      <c r="A64" s="76" t="s">
        <v>112</v>
      </c>
      <c r="B64" s="77"/>
      <c r="C64" s="77"/>
      <c r="D64" s="77"/>
      <c r="E64" s="77"/>
      <c r="F64" s="77"/>
      <c r="G64" s="77"/>
      <c r="H64" s="77"/>
      <c r="I64" s="77"/>
      <c r="J64" s="77"/>
      <c r="K64" s="77"/>
      <c r="L64" s="77"/>
      <c r="M64" s="78"/>
    </row>
    <row r="65" spans="1:13" ht="15.6" x14ac:dyDescent="0.3">
      <c r="A65" s="79" t="s">
        <v>113</v>
      </c>
      <c r="B65" s="12"/>
      <c r="C65" s="12"/>
      <c r="D65" s="12"/>
      <c r="E65" s="12"/>
      <c r="F65" s="12"/>
      <c r="G65" s="12"/>
      <c r="H65" s="12"/>
      <c r="I65" s="12"/>
      <c r="J65" s="12"/>
      <c r="K65" s="12"/>
      <c r="L65" s="12"/>
      <c r="M65" s="69"/>
    </row>
    <row r="66" spans="1:13" ht="15.6" x14ac:dyDescent="0.3">
      <c r="A66" s="79" t="s">
        <v>114</v>
      </c>
      <c r="B66" s="12"/>
      <c r="C66" s="12"/>
      <c r="D66" s="12"/>
      <c r="E66" s="12"/>
      <c r="F66" s="12"/>
      <c r="G66" s="12"/>
      <c r="H66" s="12"/>
      <c r="I66" s="12"/>
      <c r="J66" s="12"/>
      <c r="K66" s="12"/>
      <c r="L66" s="12"/>
      <c r="M66" s="69"/>
    </row>
    <row r="67" spans="1:13" x14ac:dyDescent="0.3">
      <c r="A67" s="68"/>
      <c r="B67" s="12"/>
      <c r="C67" s="12"/>
      <c r="D67" s="12"/>
      <c r="E67" s="12"/>
      <c r="F67" s="12"/>
      <c r="G67" s="12"/>
      <c r="H67" s="12"/>
      <c r="I67" s="12"/>
      <c r="J67" s="12"/>
      <c r="K67" s="12"/>
      <c r="L67" s="12"/>
      <c r="M67" s="69"/>
    </row>
    <row r="68" spans="1:13" ht="15.6" x14ac:dyDescent="0.3">
      <c r="A68" s="80"/>
      <c r="B68" s="12"/>
      <c r="C68" s="12"/>
      <c r="D68" s="12"/>
      <c r="E68" s="12"/>
      <c r="F68" s="12"/>
      <c r="G68" s="12"/>
      <c r="H68" s="12"/>
      <c r="I68" s="12"/>
      <c r="J68" s="12"/>
      <c r="K68" s="12"/>
      <c r="L68" s="12"/>
      <c r="M68" s="69"/>
    </row>
    <row r="69" spans="1:13" ht="17.399999999999999" x14ac:dyDescent="0.3">
      <c r="A69" s="80"/>
      <c r="B69" s="328" t="s">
        <v>115</v>
      </c>
      <c r="C69" s="328"/>
      <c r="D69" s="328"/>
      <c r="E69" s="12"/>
      <c r="F69" s="231">
        <f>M141</f>
        <v>330297.23025000002</v>
      </c>
      <c r="G69" s="101"/>
      <c r="H69" s="75" t="s">
        <v>416</v>
      </c>
      <c r="I69" s="12"/>
      <c r="J69" s="12"/>
      <c r="K69" s="12"/>
      <c r="L69" s="12"/>
      <c r="M69" s="69"/>
    </row>
    <row r="70" spans="1:13" ht="15.6" x14ac:dyDescent="0.3">
      <c r="A70" s="68"/>
      <c r="B70" s="95" t="s">
        <v>116</v>
      </c>
      <c r="C70" s="96"/>
      <c r="D70" s="96"/>
      <c r="E70" s="12"/>
      <c r="F70" s="81"/>
      <c r="G70" s="12"/>
      <c r="H70" s="82"/>
      <c r="I70" s="12"/>
      <c r="J70" s="12"/>
      <c r="K70" s="12"/>
      <c r="L70" s="12"/>
      <c r="M70" s="69"/>
    </row>
    <row r="71" spans="1:13" ht="17.399999999999999" x14ac:dyDescent="0.3">
      <c r="A71" s="68"/>
      <c r="B71" s="97" t="s">
        <v>170</v>
      </c>
      <c r="C71" s="98"/>
      <c r="D71" s="98"/>
      <c r="E71" s="12"/>
      <c r="F71" s="232"/>
      <c r="G71" s="65" t="s">
        <v>117</v>
      </c>
      <c r="H71" s="75" t="s">
        <v>118</v>
      </c>
      <c r="I71" s="12"/>
      <c r="J71" s="12"/>
      <c r="K71" s="12"/>
      <c r="L71" s="12"/>
      <c r="M71" s="69"/>
    </row>
    <row r="72" spans="1:13" ht="15.6" x14ac:dyDescent="0.3">
      <c r="A72" s="68"/>
      <c r="B72" s="99" t="s">
        <v>169</v>
      </c>
      <c r="C72" s="100"/>
      <c r="D72" s="100"/>
      <c r="E72" s="12"/>
      <c r="F72" s="81" t="s">
        <v>1</v>
      </c>
      <c r="G72" s="12"/>
      <c r="H72" s="82"/>
      <c r="I72" s="12"/>
      <c r="J72" s="12"/>
      <c r="K72" s="12"/>
      <c r="L72" s="12"/>
      <c r="M72" s="69"/>
    </row>
    <row r="73" spans="1:13" ht="17.399999999999999" x14ac:dyDescent="0.3">
      <c r="A73" s="68"/>
      <c r="B73" s="12"/>
      <c r="C73" s="12"/>
      <c r="D73" s="12"/>
      <c r="E73" s="12"/>
      <c r="F73" s="233"/>
      <c r="G73" s="65" t="s">
        <v>119</v>
      </c>
      <c r="H73" s="75" t="s">
        <v>120</v>
      </c>
      <c r="I73" s="12"/>
      <c r="J73" s="12"/>
      <c r="K73" s="12"/>
      <c r="L73" s="12"/>
      <c r="M73" s="69"/>
    </row>
    <row r="74" spans="1:13" ht="17.399999999999999" x14ac:dyDescent="0.3">
      <c r="A74" s="68"/>
      <c r="B74" s="12"/>
      <c r="C74" s="12"/>
      <c r="D74" s="12"/>
      <c r="E74" s="12"/>
      <c r="F74" s="12"/>
      <c r="G74" s="12"/>
      <c r="H74" s="65" t="s">
        <v>121</v>
      </c>
      <c r="I74" s="83"/>
      <c r="J74" s="83"/>
      <c r="K74" s="12"/>
      <c r="L74" s="12"/>
      <c r="M74" s="69"/>
    </row>
    <row r="75" spans="1:13" ht="15.6" x14ac:dyDescent="0.3">
      <c r="A75" s="68"/>
      <c r="B75" s="12"/>
      <c r="C75" s="12"/>
      <c r="D75" s="12"/>
      <c r="E75" s="12"/>
      <c r="F75" s="12"/>
      <c r="G75" s="12"/>
      <c r="H75" s="83"/>
      <c r="I75" s="83"/>
      <c r="J75" s="323"/>
      <c r="K75" s="323"/>
      <c r="L75" s="323"/>
      <c r="M75" s="84"/>
    </row>
    <row r="76" spans="1:13" ht="15.6" x14ac:dyDescent="0.3">
      <c r="A76" s="68"/>
      <c r="B76" s="12"/>
      <c r="C76" s="12"/>
      <c r="D76" s="12"/>
      <c r="E76" s="12"/>
      <c r="F76" s="12"/>
      <c r="G76" s="12"/>
      <c r="H76" s="83" t="s">
        <v>171</v>
      </c>
      <c r="I76" s="83"/>
      <c r="J76" s="324"/>
      <c r="K76" s="324"/>
      <c r="L76" s="324"/>
      <c r="M76" s="84" t="str">
        <f>B4</f>
        <v>Anna M</v>
      </c>
    </row>
    <row r="77" spans="1:13" ht="15.6" x14ac:dyDescent="0.3">
      <c r="A77" s="68"/>
      <c r="B77" s="12"/>
      <c r="C77" s="12"/>
      <c r="D77" s="12"/>
      <c r="E77" s="12"/>
      <c r="F77" s="12"/>
      <c r="G77" s="12"/>
      <c r="H77" s="83"/>
      <c r="I77" s="83"/>
      <c r="J77" s="85"/>
      <c r="K77" s="86"/>
      <c r="L77" s="87"/>
      <c r="M77" s="88"/>
    </row>
    <row r="78" spans="1:13" x14ac:dyDescent="0.3">
      <c r="A78" s="68"/>
      <c r="B78" s="89" t="s">
        <v>122</v>
      </c>
      <c r="C78" s="90"/>
      <c r="D78" s="12"/>
      <c r="E78" s="12"/>
      <c r="F78" s="12"/>
      <c r="G78" s="12"/>
      <c r="H78" s="12"/>
      <c r="I78" s="12"/>
      <c r="J78" s="12"/>
      <c r="K78" s="12"/>
      <c r="L78" s="12"/>
      <c r="M78" s="69"/>
    </row>
    <row r="79" spans="1:13" x14ac:dyDescent="0.3">
      <c r="A79" s="68"/>
      <c r="B79" s="89" t="s">
        <v>123</v>
      </c>
      <c r="C79" s="90"/>
      <c r="D79" s="12"/>
      <c r="E79" s="12"/>
      <c r="F79" s="12"/>
      <c r="G79" s="12"/>
      <c r="H79" s="12"/>
      <c r="I79" s="12"/>
      <c r="J79" s="12"/>
      <c r="K79" s="12"/>
      <c r="L79" s="12"/>
      <c r="M79" s="69"/>
    </row>
    <row r="80" spans="1:13" ht="24.6" x14ac:dyDescent="0.4">
      <c r="A80" s="80"/>
      <c r="B80" s="89" t="s">
        <v>124</v>
      </c>
      <c r="C80" s="90"/>
      <c r="D80" s="91"/>
      <c r="E80" s="12"/>
      <c r="F80" s="12"/>
      <c r="G80" s="12"/>
      <c r="H80" s="12"/>
      <c r="I80" s="12"/>
      <c r="J80" s="12"/>
      <c r="K80" s="12"/>
      <c r="L80" s="12"/>
      <c r="M80" s="69"/>
    </row>
    <row r="81" spans="1:18" ht="17.399999999999999" x14ac:dyDescent="0.3">
      <c r="A81" s="80"/>
      <c r="B81" s="89" t="s">
        <v>125</v>
      </c>
      <c r="C81" s="83"/>
      <c r="D81" s="12"/>
      <c r="E81" s="65"/>
      <c r="F81" s="65"/>
      <c r="G81" s="65"/>
      <c r="H81" s="12"/>
      <c r="I81" s="12"/>
      <c r="J81" s="12"/>
      <c r="K81" s="12"/>
      <c r="L81" s="12"/>
      <c r="M81" s="69"/>
    </row>
    <row r="82" spans="1:18" ht="17.399999999999999" x14ac:dyDescent="0.3">
      <c r="A82" s="80"/>
      <c r="B82" s="89" t="s">
        <v>126</v>
      </c>
      <c r="C82" s="83"/>
      <c r="D82" s="65"/>
      <c r="E82" s="12"/>
      <c r="F82" s="12"/>
      <c r="G82" s="12"/>
      <c r="H82" s="12"/>
      <c r="I82" s="12"/>
      <c r="J82" s="12"/>
      <c r="K82" s="12"/>
      <c r="L82" s="12"/>
      <c r="M82" s="69"/>
    </row>
    <row r="83" spans="1:18" ht="15" thickBot="1" x14ac:dyDescent="0.35">
      <c r="A83" s="92"/>
      <c r="B83" s="93"/>
      <c r="C83" s="93"/>
      <c r="D83" s="93"/>
      <c r="E83" s="93"/>
      <c r="F83" s="93"/>
      <c r="G83" s="93"/>
      <c r="H83" s="93"/>
      <c r="I83" s="93"/>
      <c r="J83" s="93"/>
      <c r="K83" s="93"/>
      <c r="L83" s="93"/>
      <c r="M83" s="94"/>
    </row>
    <row r="84" spans="1:18" ht="17.399999999999999" x14ac:dyDescent="0.3">
      <c r="A84" s="36" t="s">
        <v>127</v>
      </c>
      <c r="B84" s="37"/>
      <c r="C84" s="37"/>
      <c r="D84" s="37"/>
      <c r="E84" s="37"/>
      <c r="F84" s="37"/>
      <c r="G84" s="37"/>
      <c r="H84" s="37"/>
      <c r="I84" s="37"/>
      <c r="J84" s="37"/>
      <c r="K84" s="37"/>
      <c r="M84" s="32"/>
    </row>
    <row r="85" spans="1:18" ht="17.399999999999999" x14ac:dyDescent="0.3">
      <c r="A85" s="278" t="s">
        <v>128</v>
      </c>
      <c r="B85" s="279"/>
      <c r="C85" s="279"/>
      <c r="D85" s="279"/>
      <c r="E85" s="280" t="str">
        <f>B3</f>
        <v>Sellers</v>
      </c>
      <c r="F85" s="276"/>
      <c r="G85" s="276"/>
      <c r="H85" s="19" t="s">
        <v>129</v>
      </c>
      <c r="I85" s="37"/>
      <c r="J85" s="37"/>
      <c r="L85" s="37" t="s">
        <v>130</v>
      </c>
      <c r="M85" s="32"/>
    </row>
    <row r="86" spans="1:18" ht="17.399999999999999" x14ac:dyDescent="0.3">
      <c r="A86" s="281" t="s">
        <v>131</v>
      </c>
      <c r="B86" s="282"/>
      <c r="C86" s="282"/>
      <c r="D86" s="282"/>
      <c r="E86" s="283" t="str">
        <f>B4</f>
        <v>Anna M</v>
      </c>
      <c r="F86" s="31"/>
      <c r="G86" s="31"/>
      <c r="H86" s="21"/>
      <c r="I86" s="17"/>
      <c r="J86" s="17"/>
      <c r="K86" s="17"/>
      <c r="L86" s="16"/>
      <c r="M86" s="33"/>
    </row>
    <row r="87" spans="1:18" ht="18.600000000000001" x14ac:dyDescent="0.4">
      <c r="A87" s="281" t="s">
        <v>132</v>
      </c>
      <c r="B87" s="282"/>
      <c r="C87" s="282"/>
      <c r="D87" s="282"/>
      <c r="E87" s="283" t="str">
        <f>L3</f>
        <v>Test2</v>
      </c>
      <c r="F87" s="31"/>
      <c r="G87" s="31"/>
      <c r="H87" s="22" t="s">
        <v>133</v>
      </c>
      <c r="I87" s="37"/>
      <c r="J87" s="37"/>
      <c r="M87" s="204" cm="1">
        <f t="array" ref="M87">LOOKUP(2,1/(('Base Pricing'!A2:A98='Data Entry'!D20)*('Base Pricing'!B2:B98='S-Series Quote'!F12)),'Base Pricing'!$C$2:$C$98)</f>
        <v>214800</v>
      </c>
      <c r="R87" s="273"/>
    </row>
    <row r="88" spans="1:18" ht="17.399999999999999" x14ac:dyDescent="0.3">
      <c r="A88" s="281" t="s">
        <v>134</v>
      </c>
      <c r="B88" s="282"/>
      <c r="C88" s="282"/>
      <c r="D88" s="282"/>
      <c r="E88" s="283" t="str">
        <f>IF(L7=0,"",L7)</f>
        <v xml:space="preserve"> </v>
      </c>
      <c r="F88" s="31"/>
      <c r="G88" s="31"/>
      <c r="H88" s="22" t="s">
        <v>135</v>
      </c>
      <c r="I88" s="37"/>
      <c r="J88" s="41"/>
      <c r="K88" s="37"/>
      <c r="M88" s="32"/>
    </row>
    <row r="89" spans="1:18" ht="17.399999999999999" x14ac:dyDescent="0.3">
      <c r="A89" s="281" t="s">
        <v>136</v>
      </c>
      <c r="B89" s="282"/>
      <c r="C89" s="282"/>
      <c r="D89" s="282"/>
      <c r="E89" s="283" t="s">
        <v>1</v>
      </c>
      <c r="F89" s="31"/>
      <c r="G89" s="31"/>
      <c r="H89" s="19"/>
      <c r="I89" s="37"/>
      <c r="J89" s="41"/>
      <c r="K89" s="37"/>
      <c r="M89" s="32"/>
    </row>
    <row r="90" spans="1:18" ht="17.399999999999999" x14ac:dyDescent="0.3">
      <c r="A90" s="34"/>
      <c r="B90" s="16"/>
      <c r="C90" s="16"/>
      <c r="D90" s="16"/>
      <c r="E90" s="16"/>
      <c r="F90" s="16"/>
      <c r="G90" s="17"/>
      <c r="H90" s="19" t="s">
        <v>137</v>
      </c>
      <c r="I90" s="37"/>
      <c r="J90" s="41"/>
      <c r="K90" s="37"/>
      <c r="M90" s="32"/>
    </row>
    <row r="91" spans="1:18" ht="18.600000000000001" x14ac:dyDescent="0.4">
      <c r="A91" s="277" t="s">
        <v>138</v>
      </c>
      <c r="B91" s="31"/>
      <c r="C91" s="31"/>
      <c r="D91" s="31"/>
      <c r="E91" s="31"/>
      <c r="F91" s="37"/>
      <c r="G91" s="37"/>
      <c r="H91" s="34" t="s">
        <v>194</v>
      </c>
      <c r="I91" s="17"/>
      <c r="J91" s="23"/>
      <c r="K91" s="208" t="str">
        <f>'Data Entry'!D24</f>
        <v>YES</v>
      </c>
      <c r="L91" s="16"/>
      <c r="M91" s="226">
        <f>IF(K91="YES",Options!AB29,0)</f>
        <v>1500</v>
      </c>
    </row>
    <row r="92" spans="1:18" ht="18.600000000000001" x14ac:dyDescent="0.4">
      <c r="A92" s="278" t="s">
        <v>139</v>
      </c>
      <c r="B92" s="279"/>
      <c r="C92" s="279"/>
      <c r="D92" s="279"/>
      <c r="E92" s="280">
        <f>F11</f>
        <v>600</v>
      </c>
      <c r="F92" s="20"/>
      <c r="G92" s="285"/>
      <c r="H92" s="35" t="s">
        <v>363</v>
      </c>
      <c r="I92" s="37"/>
      <c r="J92" s="41"/>
      <c r="K92" s="207" t="str">
        <f>'Data Entry'!D26</f>
        <v>YES</v>
      </c>
      <c r="M92" s="204">
        <f>IF(K92="YES",VLOOKUP(F11,Options!$P$2:$S$20,4),0)</f>
        <v>12100</v>
      </c>
    </row>
    <row r="93" spans="1:18" ht="18.600000000000001" x14ac:dyDescent="0.4">
      <c r="A93" s="281" t="s">
        <v>140</v>
      </c>
      <c r="B93" s="282"/>
      <c r="C93" s="282"/>
      <c r="D93" s="282"/>
      <c r="E93" s="283">
        <f>F12</f>
        <v>150</v>
      </c>
      <c r="F93" s="20"/>
      <c r="G93" s="285"/>
      <c r="H93" s="35" t="s">
        <v>193</v>
      </c>
      <c r="I93" s="37"/>
      <c r="J93" s="41"/>
      <c r="K93" s="207" t="str">
        <f>'Data Entry'!D36</f>
        <v>YES</v>
      </c>
      <c r="M93" s="204">
        <f>IF(K93="YES",VLOOKUP(F11,Options!$P$2:$R$20,3,FALSE),0)</f>
        <v>2200</v>
      </c>
    </row>
    <row r="94" spans="1:18" ht="18.600000000000001" x14ac:dyDescent="0.4">
      <c r="A94" s="281"/>
      <c r="B94" s="282"/>
      <c r="C94" s="282"/>
      <c r="D94" s="282"/>
      <c r="E94" s="283"/>
      <c r="F94" s="37"/>
      <c r="G94" s="285"/>
      <c r="H94" s="35" t="s">
        <v>483</v>
      </c>
      <c r="I94" s="37"/>
      <c r="J94" s="41"/>
      <c r="K94" s="207" t="str">
        <f>IF('Data Entry'!D39&gt;150,"YES","NO")</f>
        <v>NO</v>
      </c>
      <c r="M94" s="204" cm="1">
        <f t="array" ref="M94">IF(K94="YES",_xlfn.XLOOKUP('Data Entry'!D20&amp;'Data Entry'!D39,'Base Pricing'!E39:E94&amp;'Base Pricing'!F39:F94,'Base Pricing'!G39:G94,0,0),0)</f>
        <v>0</v>
      </c>
    </row>
    <row r="95" spans="1:18" ht="18.600000000000001" x14ac:dyDescent="0.4">
      <c r="A95" s="39"/>
      <c r="B95" s="17"/>
      <c r="C95" s="17"/>
      <c r="D95" s="17"/>
      <c r="E95" s="18"/>
      <c r="F95" s="37"/>
      <c r="G95" s="322"/>
      <c r="H95" s="35" t="s">
        <v>372</v>
      </c>
      <c r="I95" s="37"/>
      <c r="J95" s="41"/>
      <c r="K95" s="209" t="str">
        <f>'Data Entry'!D43</f>
        <v xml:space="preserve">Automatic  </v>
      </c>
      <c r="L95" s="31"/>
      <c r="M95" s="204">
        <f>VLOOKUP(K95,Options!AA45:AB47,2,FALSE)</f>
        <v>7050</v>
      </c>
    </row>
    <row r="96" spans="1:18" ht="18.600000000000001" x14ac:dyDescent="0.4">
      <c r="A96" s="36"/>
      <c r="B96" s="37"/>
      <c r="C96" s="37"/>
      <c r="D96" s="37"/>
      <c r="E96" s="37"/>
      <c r="F96" s="37"/>
      <c r="G96" s="322"/>
      <c r="H96" s="68" t="s">
        <v>359</v>
      </c>
      <c r="I96" s="37"/>
      <c r="J96" s="41"/>
      <c r="K96" s="210" t="str">
        <f>'Data Entry'!D45</f>
        <v>YES</v>
      </c>
      <c r="L96" s="31"/>
      <c r="M96" s="239" cm="1">
        <f t="array" ref="M96">IF(K96="YES",_xlfn.XLOOKUP('Data Entry'!D20&amp;'Data Entry'!D39,Options!D3:D97&amp;Options!E3:E97,Options!G3:G97,0),0)</f>
        <v>2500</v>
      </c>
    </row>
    <row r="97" spans="1:18" ht="18.600000000000001" x14ac:dyDescent="0.4">
      <c r="A97" s="36"/>
      <c r="B97" s="37"/>
      <c r="C97" s="37"/>
      <c r="D97" s="37"/>
      <c r="E97" s="37"/>
      <c r="F97" s="37"/>
      <c r="G97" s="322"/>
      <c r="H97" s="68" t="s">
        <v>461</v>
      </c>
      <c r="I97" s="37"/>
      <c r="J97" s="41"/>
      <c r="K97" s="210" t="str">
        <f>'Data Entry'!D47</f>
        <v>YES</v>
      </c>
      <c r="L97" s="31"/>
      <c r="M97" s="239">
        <f>IF(K97="YES",1800,0)</f>
        <v>1800</v>
      </c>
    </row>
    <row r="98" spans="1:18" ht="19.5" customHeight="1" x14ac:dyDescent="0.4">
      <c r="A98" s="42"/>
      <c r="B98" s="37"/>
      <c r="C98" s="37"/>
      <c r="D98" s="37"/>
      <c r="E98" s="40"/>
      <c r="F98" s="37"/>
      <c r="G98" s="322"/>
      <c r="H98" s="68" t="s">
        <v>189</v>
      </c>
      <c r="I98" s="37"/>
      <c r="J98" s="41"/>
      <c r="K98" s="207" t="str">
        <f>'Data Entry'!D49</f>
        <v>YES</v>
      </c>
      <c r="L98" s="43"/>
      <c r="M98" s="271" cm="1">
        <f t="array" ref="M98">IF(K98="YES",_xlfn.XLOOKUP('Data Entry'!D20&amp;'Data Entry'!D39,BDS!A2:A98&amp;BDS!B2:B98,BDS!C2:C98),0)</f>
        <v>9766.5</v>
      </c>
      <c r="R98" s="274" t="s">
        <v>1</v>
      </c>
    </row>
    <row r="99" spans="1:18" ht="18.600000000000001" x14ac:dyDescent="0.4">
      <c r="A99" s="36"/>
      <c r="B99" s="37"/>
      <c r="C99" s="37"/>
      <c r="D99" s="37"/>
      <c r="E99" s="37"/>
      <c r="F99" s="37"/>
      <c r="G99" s="322"/>
      <c r="H99" s="68" t="s">
        <v>360</v>
      </c>
      <c r="I99" s="37"/>
      <c r="J99" s="41"/>
      <c r="K99" s="207" t="str">
        <f>'Data Entry'!D51</f>
        <v>YES</v>
      </c>
      <c r="L99" s="43"/>
      <c r="M99" s="204">
        <f>IF(K99="YES",Options!AD92,0)</f>
        <v>1200</v>
      </c>
    </row>
    <row r="100" spans="1:18" ht="18.600000000000001" x14ac:dyDescent="0.4">
      <c r="A100" s="36"/>
      <c r="B100" s="37"/>
      <c r="C100" s="37"/>
      <c r="D100" s="37"/>
      <c r="E100" s="37"/>
      <c r="F100" s="37"/>
      <c r="G100" s="322"/>
      <c r="H100" s="68" t="s">
        <v>44</v>
      </c>
      <c r="I100" s="37"/>
      <c r="J100" s="37"/>
      <c r="K100" s="207" t="str">
        <f>'Data Entry'!D53</f>
        <v>YES - LINKAGE</v>
      </c>
      <c r="L100" s="43"/>
      <c r="M100" s="204">
        <f>VLOOKUP('Data Entry'!D53,Options!AB98:AC100,2,FALSE)</f>
        <v>4700</v>
      </c>
    </row>
    <row r="101" spans="1:18" ht="18.600000000000001" x14ac:dyDescent="0.4">
      <c r="A101" s="36"/>
      <c r="B101" s="37"/>
      <c r="C101" s="37"/>
      <c r="D101" s="37"/>
      <c r="E101" s="37"/>
      <c r="F101" s="37"/>
      <c r="G101" s="322"/>
      <c r="H101" s="68" t="s">
        <v>192</v>
      </c>
      <c r="I101" s="37"/>
      <c r="J101" s="37"/>
      <c r="K101" s="207" t="str">
        <f>'Data Entry'!D55</f>
        <v>YES</v>
      </c>
      <c r="L101" s="43"/>
      <c r="M101" s="239">
        <f>IF(K101&lt;&gt;"NO",Options!AC236,0)</f>
        <v>18515</v>
      </c>
    </row>
    <row r="102" spans="1:18" ht="18.600000000000001" x14ac:dyDescent="0.4">
      <c r="A102" s="36"/>
      <c r="B102" s="37"/>
      <c r="C102" s="37"/>
      <c r="D102" s="37"/>
      <c r="E102" s="37"/>
      <c r="F102" s="37"/>
      <c r="G102" s="322"/>
      <c r="H102" s="68" t="s">
        <v>238</v>
      </c>
      <c r="I102" s="37"/>
      <c r="J102" s="37"/>
      <c r="K102" s="207" t="str">
        <f>'Data Entry'!D58</f>
        <v>Dual Fuel</v>
      </c>
      <c r="L102" s="43"/>
      <c r="M102" s="239">
        <f>IF(K102="Dual Fuel",VLOOKUP(F11,Options!AA186:AB204,2,FALSE),0)</f>
        <v>6800</v>
      </c>
    </row>
    <row r="103" spans="1:18" ht="18.600000000000001" x14ac:dyDescent="0.4">
      <c r="A103" s="36"/>
      <c r="B103" s="37"/>
      <c r="C103" s="37"/>
      <c r="D103" s="37"/>
      <c r="E103" s="37"/>
      <c r="F103" s="37"/>
      <c r="G103" s="285"/>
      <c r="H103" s="35" t="s">
        <v>185</v>
      </c>
      <c r="I103" s="37"/>
      <c r="J103" s="37"/>
      <c r="K103" s="207" t="str">
        <f>'Data Entry'!D62</f>
        <v>YES</v>
      </c>
      <c r="L103" s="43"/>
      <c r="M103" s="239">
        <f>IF(K103="YES",Options!AC158,0)</f>
        <v>100</v>
      </c>
    </row>
    <row r="104" spans="1:18" ht="18.600000000000001" x14ac:dyDescent="0.4">
      <c r="A104" s="36"/>
      <c r="B104" s="37"/>
      <c r="C104" s="37"/>
      <c r="D104" s="37"/>
      <c r="E104" s="37"/>
      <c r="F104" s="37"/>
      <c r="G104" s="285"/>
      <c r="H104" s="35" t="s">
        <v>186</v>
      </c>
      <c r="I104" s="37"/>
      <c r="J104" s="37"/>
      <c r="K104" s="207" t="str">
        <f>'Data Entry'!D64</f>
        <v>YES</v>
      </c>
      <c r="L104" s="43"/>
      <c r="M104" s="239">
        <f>IF(K104="YES",Options!S32,0)</f>
        <v>8600</v>
      </c>
    </row>
    <row r="105" spans="1:18" ht="18.600000000000001" x14ac:dyDescent="0.4">
      <c r="A105" s="36"/>
      <c r="B105" s="37"/>
      <c r="C105" s="37"/>
      <c r="D105" s="37"/>
      <c r="E105" s="37"/>
      <c r="F105" s="37"/>
      <c r="G105" s="285"/>
      <c r="H105" s="35" t="s">
        <v>173</v>
      </c>
      <c r="I105" s="37"/>
      <c r="J105" s="37"/>
      <c r="K105" s="207" t="str">
        <f>'Data Entry'!D67</f>
        <v>NO</v>
      </c>
      <c r="L105" s="43"/>
      <c r="M105" s="204">
        <f>IF(K105="YES",Options!AB26,0)</f>
        <v>0</v>
      </c>
    </row>
    <row r="106" spans="1:18" ht="18.600000000000001" x14ac:dyDescent="0.4">
      <c r="A106" s="36"/>
      <c r="B106" s="37"/>
      <c r="C106" s="37"/>
      <c r="D106" s="37"/>
      <c r="E106" s="37"/>
      <c r="F106" s="37"/>
      <c r="G106" s="285"/>
      <c r="H106" s="35" t="s">
        <v>361</v>
      </c>
      <c r="I106" s="37"/>
      <c r="J106" s="37"/>
      <c r="K106" s="207" t="str">
        <f>'Data Entry'!D69</f>
        <v>Nema 12</v>
      </c>
      <c r="L106" s="43"/>
      <c r="M106" s="239" cm="1">
        <f t="array" ref="M106">IF(K106&lt;&gt;"NO",_xlfn.XLOOKUP(F11&amp;K106,Options!AA110:AA149&amp;Options!AB110:AB149,Options!AC110:AC149),0)</f>
        <v>4000</v>
      </c>
    </row>
    <row r="107" spans="1:18" ht="18.600000000000001" x14ac:dyDescent="0.4">
      <c r="A107" s="36"/>
      <c r="B107" s="37"/>
      <c r="C107" s="37"/>
      <c r="D107" s="37"/>
      <c r="E107" s="37"/>
      <c r="F107" s="37"/>
      <c r="G107" s="37"/>
      <c r="H107" s="35" t="s">
        <v>175</v>
      </c>
      <c r="I107" s="37"/>
      <c r="J107" s="37"/>
      <c r="K107" s="207" t="str">
        <f>'Data Entry'!D71</f>
        <v>YES</v>
      </c>
      <c r="L107" s="43"/>
      <c r="M107" s="204">
        <f>IF(K107="YES",Options!AF78,0)</f>
        <v>1600</v>
      </c>
    </row>
    <row r="108" spans="1:18" ht="18.600000000000001" x14ac:dyDescent="0.4">
      <c r="A108" s="36"/>
      <c r="B108" s="37"/>
      <c r="C108" s="37"/>
      <c r="D108" s="37"/>
      <c r="E108" s="37"/>
      <c r="F108" s="37"/>
      <c r="G108" s="37"/>
      <c r="H108" s="35" t="s">
        <v>176</v>
      </c>
      <c r="I108" s="37"/>
      <c r="J108" s="37"/>
      <c r="K108" s="207" t="str">
        <f>'Data Entry'!D73</f>
        <v>NO</v>
      </c>
      <c r="L108" s="43"/>
      <c r="M108" s="204">
        <f>IF(K108="YES",VLOOKUP(F11,Options!$P$2:$Q$20,2,FALSE),0)</f>
        <v>0</v>
      </c>
    </row>
    <row r="109" spans="1:18" ht="18.600000000000001" x14ac:dyDescent="0.4">
      <c r="A109" s="36"/>
      <c r="B109" s="37"/>
      <c r="C109" s="37"/>
      <c r="D109" s="37"/>
      <c r="E109" s="37"/>
      <c r="F109" s="37"/>
      <c r="G109" s="37"/>
      <c r="H109" s="35" t="s">
        <v>177</v>
      </c>
      <c r="I109" s="37"/>
      <c r="J109" s="37"/>
      <c r="K109" s="207" t="str">
        <f>'Data Entry'!D75</f>
        <v>YES</v>
      </c>
      <c r="L109" s="43"/>
      <c r="M109" s="204">
        <f>IF(K109="YES",Options!AD84,0)</f>
        <v>2300</v>
      </c>
    </row>
    <row r="110" spans="1:18" ht="18.600000000000001" x14ac:dyDescent="0.4">
      <c r="A110" s="36"/>
      <c r="B110" s="37"/>
      <c r="C110" s="37"/>
      <c r="D110" s="37"/>
      <c r="E110" s="37"/>
      <c r="F110" s="37"/>
      <c r="G110" s="37"/>
      <c r="H110" s="35" t="s">
        <v>481</v>
      </c>
      <c r="I110" s="37"/>
      <c r="J110" s="37"/>
      <c r="K110" s="207" t="str">
        <f>'Data Entry'!D79</f>
        <v>NO</v>
      </c>
      <c r="L110" s="43"/>
      <c r="M110" s="204">
        <f>IF(K110="YES",1500,0)</f>
        <v>0</v>
      </c>
    </row>
    <row r="111" spans="1:18" ht="18.600000000000001" x14ac:dyDescent="0.4">
      <c r="A111" s="36"/>
      <c r="B111" s="37"/>
      <c r="C111" s="37"/>
      <c r="D111" s="37"/>
      <c r="E111" s="37"/>
      <c r="F111" s="37"/>
      <c r="G111" s="37"/>
      <c r="H111" s="35" t="s">
        <v>362</v>
      </c>
      <c r="I111" s="37"/>
      <c r="J111" s="37"/>
      <c r="K111" s="207" t="str">
        <f>'Data Entry'!D82</f>
        <v>YES</v>
      </c>
      <c r="L111" s="43"/>
      <c r="M111" s="204">
        <f>IF(K111="YES",Options!AB19,0)</f>
        <v>11800</v>
      </c>
    </row>
    <row r="112" spans="1:18" ht="18.600000000000001" x14ac:dyDescent="0.4">
      <c r="A112" s="36"/>
      <c r="B112" s="37"/>
      <c r="C112" s="37" t="s">
        <v>1</v>
      </c>
      <c r="D112" s="37"/>
      <c r="E112" s="37"/>
      <c r="F112" s="37"/>
      <c r="G112" s="284"/>
      <c r="H112" s="35" t="s">
        <v>179</v>
      </c>
      <c r="I112" s="37"/>
      <c r="J112" s="37"/>
      <c r="K112" s="207" t="str">
        <f>'Data Entry'!D84</f>
        <v>YES</v>
      </c>
      <c r="L112" s="43"/>
      <c r="M112" s="204">
        <f>IF(K112="YES",VLOOKUP('Data Entry'!D32,Options!AA5:AB13,2,FALSE),0)</f>
        <v>19300</v>
      </c>
    </row>
    <row r="113" spans="1:14" ht="18.600000000000001" x14ac:dyDescent="0.4">
      <c r="A113" s="36"/>
      <c r="B113" s="37"/>
      <c r="C113" s="37"/>
      <c r="D113" s="37"/>
      <c r="E113" s="37"/>
      <c r="F113" s="37"/>
      <c r="G113" s="284"/>
      <c r="H113" s="35" t="s">
        <v>180</v>
      </c>
      <c r="I113" s="37"/>
      <c r="J113" s="37"/>
      <c r="K113" s="207" t="str">
        <f>'Data Entry'!D86</f>
        <v>YES - Float</v>
      </c>
      <c r="L113" s="43"/>
      <c r="M113" s="239" cm="1">
        <f t="array" ref="M113">IF(K113&lt;&gt;"NO",_xlfn.XLOOKUP(K113&amp;'Data Entry'!D39,Options!AA167:AA176&amp;Options!AB167:AB176,Options!AC167:AC176),0)</f>
        <v>1500</v>
      </c>
    </row>
    <row r="114" spans="1:14" ht="18.600000000000001" x14ac:dyDescent="0.4">
      <c r="A114" s="36"/>
      <c r="B114" s="37"/>
      <c r="C114" s="37"/>
      <c r="D114" s="37"/>
      <c r="E114" s="37"/>
      <c r="F114" s="37"/>
      <c r="G114" s="284"/>
      <c r="H114" s="35" t="s">
        <v>181</v>
      </c>
      <c r="I114" s="37"/>
      <c r="J114" s="37"/>
      <c r="K114" s="207" t="str">
        <f>'Data Entry'!D88</f>
        <v>YES</v>
      </c>
      <c r="L114" s="43"/>
      <c r="M114" s="204">
        <f>IF(K114="YES",Options!AB73,0)</f>
        <v>2800</v>
      </c>
    </row>
    <row r="115" spans="1:14" ht="18.600000000000001" x14ac:dyDescent="0.4">
      <c r="A115" s="36"/>
      <c r="B115" s="37"/>
      <c r="C115" s="37"/>
      <c r="D115" s="37"/>
      <c r="E115" s="37"/>
      <c r="F115" s="37"/>
      <c r="G115" s="284"/>
      <c r="H115" s="35" t="s">
        <v>183</v>
      </c>
      <c r="I115" s="37"/>
      <c r="J115" s="37"/>
      <c r="K115" s="207" t="str">
        <f>'Data Entry'!D91</f>
        <v>NO</v>
      </c>
      <c r="L115" s="43"/>
      <c r="M115" s="204">
        <f>IF(K115="YES",Options!AE89,0)</f>
        <v>0</v>
      </c>
    </row>
    <row r="116" spans="1:14" ht="18.600000000000001" x14ac:dyDescent="0.4">
      <c r="A116" s="36"/>
      <c r="B116" s="37"/>
      <c r="C116" s="37"/>
      <c r="D116" s="37"/>
      <c r="E116" s="37"/>
      <c r="F116" s="37"/>
      <c r="G116" s="284"/>
      <c r="H116" s="291" t="s">
        <v>457</v>
      </c>
      <c r="I116" s="37"/>
      <c r="J116" s="37"/>
      <c r="K116" s="207"/>
      <c r="L116" s="43"/>
      <c r="M116" s="289">
        <f>SUM(M91:M115)</f>
        <v>120131.5</v>
      </c>
    </row>
    <row r="117" spans="1:14" ht="18.600000000000001" x14ac:dyDescent="0.4">
      <c r="A117" s="36"/>
      <c r="B117" s="37"/>
      <c r="C117" s="37"/>
      <c r="D117" s="37"/>
      <c r="E117" s="37"/>
      <c r="F117" s="37"/>
      <c r="G117" s="284"/>
      <c r="H117" s="35" t="s">
        <v>460</v>
      </c>
      <c r="I117" s="37"/>
      <c r="J117" s="37"/>
      <c r="K117" s="207"/>
      <c r="L117" s="43"/>
      <c r="M117" s="204">
        <f>VLOOKUP('Data Entry'!D20,Options!$S$40:$T$58,2,FALSE)</f>
        <v>9101.65</v>
      </c>
      <c r="N117" t="s">
        <v>1</v>
      </c>
    </row>
    <row r="118" spans="1:14" ht="18.600000000000001" x14ac:dyDescent="0.4">
      <c r="A118" s="36"/>
      <c r="B118" s="37"/>
      <c r="C118" s="37"/>
      <c r="D118" s="37"/>
      <c r="E118" s="37"/>
      <c r="F118" s="37"/>
      <c r="G118" s="284"/>
      <c r="H118" s="291" t="s">
        <v>458</v>
      </c>
      <c r="I118" s="153"/>
      <c r="J118" s="37"/>
      <c r="K118" s="37"/>
      <c r="L118" s="37"/>
      <c r="M118" s="289">
        <f>(M116+M87)*0.45</f>
        <v>150719.17500000002</v>
      </c>
    </row>
    <row r="119" spans="1:14" ht="18.600000000000001" x14ac:dyDescent="0.4">
      <c r="A119" s="36"/>
      <c r="B119" s="37"/>
      <c r="C119" s="37"/>
      <c r="D119" s="37"/>
      <c r="E119" s="37"/>
      <c r="F119" s="37"/>
      <c r="G119" s="284"/>
      <c r="H119" s="291" t="s">
        <v>487</v>
      </c>
      <c r="I119" s="37"/>
      <c r="J119" s="37"/>
      <c r="K119" s="37"/>
      <c r="L119" s="37"/>
      <c r="M119" s="289">
        <f>(M116+M87)*0.015</f>
        <v>5023.9724999999999</v>
      </c>
    </row>
    <row r="120" spans="1:14" ht="18.600000000000001" x14ac:dyDescent="0.4">
      <c r="A120" s="36"/>
      <c r="B120" s="37"/>
      <c r="C120" s="37"/>
      <c r="D120" s="37"/>
      <c r="E120" s="37"/>
      <c r="F120" s="37"/>
      <c r="G120" s="284"/>
      <c r="H120" s="291" t="s">
        <v>488</v>
      </c>
      <c r="I120" s="37"/>
      <c r="J120" s="37"/>
      <c r="K120" s="37"/>
      <c r="L120" s="37"/>
      <c r="M120" s="289">
        <f>(M116+M87)*0.025</f>
        <v>8373.2875000000004</v>
      </c>
    </row>
    <row r="121" spans="1:14" ht="18.600000000000001" x14ac:dyDescent="0.4">
      <c r="A121" s="36"/>
      <c r="B121" s="37"/>
      <c r="C121" s="37"/>
      <c r="D121" s="37"/>
      <c r="E121" s="37"/>
      <c r="F121" s="37"/>
      <c r="G121" s="284"/>
      <c r="H121" s="290"/>
      <c r="I121" s="37"/>
      <c r="J121" s="37"/>
      <c r="K121" s="37"/>
      <c r="L121" s="37"/>
      <c r="M121" s="204"/>
    </row>
    <row r="122" spans="1:14" ht="18.600000000000001" x14ac:dyDescent="0.4">
      <c r="A122" s="36"/>
      <c r="B122" s="37"/>
      <c r="C122" s="37"/>
      <c r="D122" s="37"/>
      <c r="E122" s="37"/>
      <c r="F122" s="37"/>
      <c r="G122" s="284"/>
      <c r="H122" s="24"/>
      <c r="I122" s="44"/>
      <c r="J122" s="44"/>
      <c r="K122" s="44"/>
      <c r="L122" s="44"/>
      <c r="M122" s="204"/>
    </row>
    <row r="123" spans="1:14" ht="18.600000000000001" x14ac:dyDescent="0.4">
      <c r="A123" s="36"/>
      <c r="B123" s="37"/>
      <c r="C123" s="37"/>
      <c r="D123" s="37"/>
      <c r="E123" s="37"/>
      <c r="G123" s="288" t="s">
        <v>454</v>
      </c>
      <c r="H123" s="311" t="s">
        <v>452</v>
      </c>
      <c r="I123" s="312"/>
      <c r="J123" s="312"/>
      <c r="K123" s="312"/>
      <c r="L123" s="312"/>
      <c r="M123" s="313" t="s">
        <v>1</v>
      </c>
    </row>
    <row r="124" spans="1:14" ht="18.600000000000001" x14ac:dyDescent="0.4">
      <c r="A124" s="36"/>
      <c r="B124" s="37"/>
      <c r="C124" s="37"/>
      <c r="D124" s="37"/>
      <c r="E124" s="37"/>
      <c r="G124" s="288" t="s">
        <v>455</v>
      </c>
      <c r="H124" s="311" t="s">
        <v>452</v>
      </c>
      <c r="I124" s="312"/>
      <c r="J124" s="312"/>
      <c r="K124" s="312"/>
      <c r="L124" s="312"/>
      <c r="M124" s="313"/>
    </row>
    <row r="125" spans="1:14" ht="18.600000000000001" x14ac:dyDescent="0.4">
      <c r="A125" s="36"/>
      <c r="B125" s="37"/>
      <c r="C125" s="37"/>
      <c r="D125" s="37"/>
      <c r="E125" s="37"/>
      <c r="G125" s="288" t="s">
        <v>456</v>
      </c>
      <c r="H125" s="311" t="s">
        <v>452</v>
      </c>
      <c r="I125" s="312"/>
      <c r="J125" s="312"/>
      <c r="K125" s="312"/>
      <c r="L125" s="312"/>
      <c r="M125" s="313"/>
    </row>
    <row r="126" spans="1:14" ht="18.600000000000001" x14ac:dyDescent="0.4">
      <c r="A126" s="36"/>
      <c r="B126" s="37"/>
      <c r="C126" s="37"/>
      <c r="D126" s="37"/>
      <c r="E126" s="37"/>
      <c r="F126" s="2"/>
      <c r="G126" s="285"/>
      <c r="H126" s="311" t="s">
        <v>452</v>
      </c>
      <c r="I126" s="312"/>
      <c r="J126" s="312"/>
      <c r="K126" s="312"/>
      <c r="L126" s="312"/>
      <c r="M126" s="313"/>
    </row>
    <row r="127" spans="1:14" ht="18.600000000000001" x14ac:dyDescent="0.4">
      <c r="A127" s="36"/>
      <c r="B127" s="37"/>
      <c r="C127" s="37"/>
      <c r="D127" s="37"/>
      <c r="E127" s="37"/>
      <c r="G127" s="285"/>
      <c r="H127" s="311" t="s">
        <v>452</v>
      </c>
      <c r="I127" s="314"/>
      <c r="J127" s="314"/>
      <c r="K127" s="314"/>
      <c r="L127" s="314"/>
      <c r="M127" s="313"/>
    </row>
    <row r="128" spans="1:14" ht="18.600000000000001" x14ac:dyDescent="0.4">
      <c r="A128" s="36"/>
      <c r="B128" s="37"/>
      <c r="C128" s="37"/>
      <c r="D128" s="37"/>
      <c r="E128" s="37"/>
      <c r="G128" s="285"/>
      <c r="H128" s="311"/>
      <c r="I128" s="314"/>
      <c r="J128" s="314"/>
      <c r="K128" s="314"/>
      <c r="L128" s="314"/>
      <c r="M128" s="313"/>
    </row>
    <row r="129" spans="1:17" ht="18.600000000000001" x14ac:dyDescent="0.4">
      <c r="A129" s="36"/>
      <c r="B129" s="37"/>
      <c r="C129" s="37"/>
      <c r="D129" s="37"/>
      <c r="E129" s="37"/>
      <c r="G129" s="285"/>
      <c r="H129" s="311"/>
      <c r="I129" s="314"/>
      <c r="J129" s="314"/>
      <c r="K129" s="314"/>
      <c r="L129" s="314"/>
      <c r="M129" s="313"/>
    </row>
    <row r="130" spans="1:17" ht="18.600000000000001" x14ac:dyDescent="0.4">
      <c r="A130" s="36"/>
      <c r="B130" s="37"/>
      <c r="C130" s="37"/>
      <c r="D130" s="37"/>
      <c r="E130" s="37"/>
      <c r="G130" s="285"/>
      <c r="H130" s="311"/>
      <c r="I130" s="314"/>
      <c r="J130" s="314"/>
      <c r="K130" s="314"/>
      <c r="L130" s="314"/>
      <c r="M130" s="313"/>
    </row>
    <row r="131" spans="1:17" ht="18.600000000000001" x14ac:dyDescent="0.4">
      <c r="A131" s="36"/>
      <c r="B131" s="37"/>
      <c r="C131" s="37"/>
      <c r="D131" s="37"/>
      <c r="E131" s="37"/>
      <c r="G131" s="285"/>
      <c r="H131" s="311" t="s">
        <v>453</v>
      </c>
      <c r="I131" s="314"/>
      <c r="J131" s="314"/>
      <c r="K131" s="314"/>
      <c r="L131" s="314"/>
      <c r="M131" s="315">
        <f>SUM(M123:M127)</f>
        <v>0</v>
      </c>
    </row>
    <row r="132" spans="1:17" ht="18.600000000000001" x14ac:dyDescent="0.4">
      <c r="A132" s="36"/>
      <c r="B132" s="37"/>
      <c r="C132" s="37"/>
      <c r="D132" s="37"/>
      <c r="E132" s="37"/>
      <c r="F132" s="37"/>
      <c r="G132" s="37"/>
      <c r="H132" s="25"/>
      <c r="M132" s="204" t="s">
        <v>1</v>
      </c>
      <c r="O132" t="s">
        <v>1</v>
      </c>
    </row>
    <row r="133" spans="1:17" ht="20.399999999999999" x14ac:dyDescent="0.45">
      <c r="A133" s="36"/>
      <c r="B133" s="37"/>
      <c r="C133" s="37"/>
      <c r="D133" s="37"/>
      <c r="E133" s="37"/>
      <c r="F133" s="37"/>
      <c r="G133" s="37"/>
      <c r="H133" s="25" t="s">
        <v>141</v>
      </c>
      <c r="I133" s="37"/>
      <c r="J133" s="37"/>
      <c r="K133" s="37"/>
      <c r="L133" s="37"/>
      <c r="M133" s="293">
        <f>M118+M116+M87+M1252+M117+M131+M119+M120</f>
        <v>508149.58500000002</v>
      </c>
      <c r="Q133" s="241"/>
    </row>
    <row r="134" spans="1:17" ht="18" thickBot="1" x14ac:dyDescent="0.35">
      <c r="A134" s="36"/>
      <c r="B134" s="37"/>
      <c r="C134" s="45"/>
      <c r="D134" s="37"/>
      <c r="E134" s="37"/>
      <c r="F134" s="37"/>
      <c r="G134" s="37"/>
      <c r="H134" s="26"/>
      <c r="I134" s="46"/>
      <c r="J134" s="46"/>
      <c r="K134" s="47"/>
      <c r="L134" s="47"/>
      <c r="M134" s="48"/>
    </row>
    <row r="135" spans="1:17" ht="18" hidden="1" thickBot="1" x14ac:dyDescent="0.35">
      <c r="A135" s="36"/>
      <c r="B135" s="37"/>
      <c r="C135" s="37"/>
      <c r="D135" s="37"/>
      <c r="E135" s="37"/>
      <c r="F135" s="37"/>
      <c r="G135" s="37"/>
      <c r="H135" s="27" t="s">
        <v>142</v>
      </c>
      <c r="I135" s="49"/>
      <c r="J135" s="38"/>
      <c r="K135" s="38"/>
      <c r="L135" s="38"/>
      <c r="M135" s="50">
        <v>0</v>
      </c>
    </row>
    <row r="136" spans="1:17" ht="18" hidden="1" thickBot="1" x14ac:dyDescent="0.35">
      <c r="A136" s="36"/>
      <c r="B136" s="37"/>
      <c r="C136" s="37"/>
      <c r="D136" s="37"/>
      <c r="E136" s="37"/>
      <c r="F136" s="37"/>
      <c r="G136" s="37"/>
      <c r="H136" s="26"/>
      <c r="I136" s="46"/>
      <c r="J136" s="46"/>
      <c r="K136" s="47"/>
      <c r="L136" s="47"/>
      <c r="M136" s="51"/>
    </row>
    <row r="137" spans="1:17" ht="18" thickTop="1" x14ac:dyDescent="0.3">
      <c r="A137" s="35"/>
      <c r="H137" s="19"/>
      <c r="I137" s="37"/>
      <c r="J137" s="37" t="s">
        <v>143</v>
      </c>
      <c r="L137" s="28"/>
      <c r="M137" s="52">
        <f>M133</f>
        <v>508149.58500000002</v>
      </c>
    </row>
    <row r="138" spans="1:17" ht="18" thickBot="1" x14ac:dyDescent="0.35">
      <c r="A138" s="35"/>
      <c r="H138" s="19"/>
      <c r="I138" s="37"/>
      <c r="J138" s="37" t="s">
        <v>144</v>
      </c>
      <c r="L138" s="37" t="s">
        <v>145</v>
      </c>
      <c r="M138" s="53">
        <f>'Data Entry'!D22</f>
        <v>1</v>
      </c>
    </row>
    <row r="139" spans="1:17" ht="18.600000000000001" thickTop="1" thickBot="1" x14ac:dyDescent="0.35">
      <c r="A139" s="35"/>
      <c r="H139" s="19"/>
      <c r="I139" s="37"/>
      <c r="J139" s="37" t="s">
        <v>146</v>
      </c>
      <c r="L139" s="29"/>
      <c r="M139" s="52">
        <f>M137*M138</f>
        <v>508149.58500000002</v>
      </c>
    </row>
    <row r="140" spans="1:17" ht="18" thickBot="1" x14ac:dyDescent="0.35">
      <c r="A140" s="35"/>
      <c r="G140" s="138"/>
      <c r="H140" s="30"/>
      <c r="M140" s="316">
        <v>0.65</v>
      </c>
    </row>
    <row r="141" spans="1:17" ht="18" thickTop="1" x14ac:dyDescent="0.3">
      <c r="A141" s="35"/>
      <c r="G141" s="138"/>
      <c r="H141" s="30"/>
      <c r="J141" s="37" t="s">
        <v>147</v>
      </c>
      <c r="L141" s="28"/>
      <c r="M141" s="292">
        <f>M139*M140</f>
        <v>330297.23025000002</v>
      </c>
    </row>
    <row r="142" spans="1:17" x14ac:dyDescent="0.3">
      <c r="A142" s="35"/>
      <c r="G142" s="138"/>
      <c r="H142" s="30"/>
      <c r="M142" s="32"/>
    </row>
    <row r="143" spans="1:17" ht="18" thickBot="1" x14ac:dyDescent="0.35">
      <c r="A143" s="54"/>
      <c r="B143" s="55"/>
      <c r="C143" s="55"/>
      <c r="D143" s="55"/>
      <c r="E143" s="55"/>
      <c r="F143" s="55"/>
      <c r="G143" s="139"/>
      <c r="H143" s="140"/>
      <c r="I143" s="55"/>
      <c r="J143" s="56" t="s">
        <v>148</v>
      </c>
      <c r="K143" s="55"/>
      <c r="L143" s="55"/>
      <c r="M143" s="57"/>
    </row>
  </sheetData>
  <sheetProtection algorithmName="SHA-512" hashValue="hM8PHmQ7R+Dc2rs0DnkY7fBEqs+kbmEHeWZMuv4Qr2pUJECSs9FplYsGVKHeLxlpps0byZTek4PR01oeUJwCGw==" saltValue="FLBuLq1RBtiAG1kuCRcdcg==" spinCount="100000" sheet="1" objects="1" scenarios="1" selectLockedCells="1"/>
  <mergeCells count="3">
    <mergeCell ref="J75:L76"/>
    <mergeCell ref="A1:M1"/>
    <mergeCell ref="B69:D69"/>
  </mergeCells>
  <printOptions horizontalCentered="1"/>
  <pageMargins left="0" right="0" top="0" bottom="0" header="0" footer="0"/>
  <pageSetup scale="56" orientation="portrait" horizontalDpi="0" verticalDpi="0" r:id="rId1"/>
  <rowBreaks count="1" manualBreakCount="1">
    <brk id="83" max="12"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19C724-DDF9-4F40-B386-F90546D26A70}">
  <sheetPr codeName="Sheet3"/>
  <dimension ref="A1:N99"/>
  <sheetViews>
    <sheetView zoomScale="130" zoomScaleNormal="130" workbookViewId="0">
      <pane ySplit="5" topLeftCell="A75" activePane="bottomLeft" state="frozen"/>
      <selection pane="bottomLeft" activeCell="B7" sqref="B7"/>
    </sheetView>
  </sheetViews>
  <sheetFormatPr defaultRowHeight="14.4" x14ac:dyDescent="0.3"/>
  <cols>
    <col min="1" max="1" width="24" customWidth="1"/>
    <col min="2" max="2" width="19.5546875" customWidth="1"/>
    <col min="3" max="3" width="14.109375" customWidth="1"/>
    <col min="4" max="4" width="15.33203125" style="1" customWidth="1"/>
    <col min="5" max="5" width="26" bestFit="1" customWidth="1"/>
    <col min="6" max="6" width="15.5546875" bestFit="1" customWidth="1"/>
    <col min="8" max="8" width="52.88671875" customWidth="1"/>
    <col min="9" max="13" width="9.109375" hidden="1" customWidth="1"/>
    <col min="14" max="14" width="13.88671875" customWidth="1"/>
  </cols>
  <sheetData>
    <row r="1" spans="1:7" ht="15" thickTop="1" x14ac:dyDescent="0.3">
      <c r="A1" s="4"/>
      <c r="B1" s="11"/>
      <c r="C1" s="11"/>
      <c r="D1" s="5"/>
    </row>
    <row r="2" spans="1:7" x14ac:dyDescent="0.3">
      <c r="A2" s="6"/>
      <c r="B2" s="12"/>
      <c r="C2" s="12"/>
      <c r="D2" s="7"/>
      <c r="F2" t="s">
        <v>1</v>
      </c>
      <c r="G2" t="s">
        <v>1</v>
      </c>
    </row>
    <row r="3" spans="1:7" x14ac:dyDescent="0.3">
      <c r="A3" s="6"/>
      <c r="B3" s="12"/>
      <c r="C3" s="12"/>
      <c r="D3" s="7"/>
      <c r="E3" t="s">
        <v>1</v>
      </c>
      <c r="F3" t="s">
        <v>1</v>
      </c>
    </row>
    <row r="4" spans="1:7" x14ac:dyDescent="0.3">
      <c r="A4" s="6"/>
      <c r="B4" s="12"/>
      <c r="C4" s="12"/>
      <c r="D4" s="7"/>
    </row>
    <row r="5" spans="1:7" ht="26.25" customHeight="1" x14ac:dyDescent="0.5">
      <c r="A5" s="329" t="s">
        <v>2</v>
      </c>
      <c r="B5" s="330"/>
      <c r="C5" s="330"/>
      <c r="D5" s="331"/>
      <c r="F5" t="s">
        <v>1</v>
      </c>
    </row>
    <row r="6" spans="1:7" ht="15" thickBot="1" x14ac:dyDescent="0.35">
      <c r="A6" s="6"/>
      <c r="B6" s="12"/>
      <c r="C6" s="12"/>
      <c r="D6" s="7"/>
    </row>
    <row r="7" spans="1:7" ht="15.6" thickTop="1" thickBot="1" x14ac:dyDescent="0.35">
      <c r="A7" s="6" t="s">
        <v>47</v>
      </c>
      <c r="B7" s="257" t="s">
        <v>478</v>
      </c>
      <c r="C7" s="12"/>
      <c r="D7" s="7"/>
      <c r="E7" t="s">
        <v>1</v>
      </c>
    </row>
    <row r="8" spans="1:7" ht="5.0999999999999996" customHeight="1" thickTop="1" thickBot="1" x14ac:dyDescent="0.35">
      <c r="A8" s="6"/>
      <c r="B8" s="12"/>
      <c r="C8" s="12"/>
      <c r="D8" s="7"/>
    </row>
    <row r="9" spans="1:7" ht="15.6" thickTop="1" thickBot="1" x14ac:dyDescent="0.35">
      <c r="A9" s="6" t="s">
        <v>149</v>
      </c>
      <c r="B9" s="257" t="s">
        <v>485</v>
      </c>
      <c r="C9" s="12"/>
      <c r="D9" s="7"/>
    </row>
    <row r="10" spans="1:7" ht="5.0999999999999996" customHeight="1" thickTop="1" thickBot="1" x14ac:dyDescent="0.35">
      <c r="A10" s="6"/>
      <c r="B10" s="12"/>
      <c r="C10" s="12"/>
      <c r="D10" s="7"/>
    </row>
    <row r="11" spans="1:7" ht="15.6" thickTop="1" thickBot="1" x14ac:dyDescent="0.35">
      <c r="A11" s="6" t="s">
        <v>0</v>
      </c>
      <c r="B11" s="257" t="s">
        <v>486</v>
      </c>
      <c r="C11" s="12"/>
      <c r="D11" s="7"/>
    </row>
    <row r="12" spans="1:7" ht="5.0999999999999996" customHeight="1" thickTop="1" thickBot="1" x14ac:dyDescent="0.35">
      <c r="A12" s="6"/>
      <c r="B12" s="12"/>
      <c r="C12" s="12"/>
      <c r="D12" s="7"/>
    </row>
    <row r="13" spans="1:7" ht="15.6" thickTop="1" thickBot="1" x14ac:dyDescent="0.35">
      <c r="A13" s="6" t="s">
        <v>48</v>
      </c>
      <c r="B13" s="257" t="s">
        <v>68</v>
      </c>
      <c r="C13" s="12"/>
      <c r="D13" s="7"/>
    </row>
    <row r="14" spans="1:7" ht="5.0999999999999996" customHeight="1" thickTop="1" thickBot="1" x14ac:dyDescent="0.35">
      <c r="A14" s="6"/>
      <c r="B14" s="12"/>
      <c r="C14" s="12"/>
      <c r="D14" s="7"/>
    </row>
    <row r="15" spans="1:7" ht="15.6" thickTop="1" thickBot="1" x14ac:dyDescent="0.35">
      <c r="A15" s="6" t="s">
        <v>49</v>
      </c>
      <c r="B15" s="258">
        <v>45763</v>
      </c>
      <c r="C15" s="12"/>
      <c r="D15" s="7"/>
    </row>
    <row r="16" spans="1:7" ht="15" thickTop="1" x14ac:dyDescent="0.3">
      <c r="A16" s="6"/>
      <c r="B16" s="12"/>
      <c r="C16" s="12"/>
      <c r="D16" s="7"/>
    </row>
    <row r="17" spans="1:13" s="2" customFormat="1" x14ac:dyDescent="0.3">
      <c r="A17" s="8" t="s">
        <v>448</v>
      </c>
      <c r="B17" s="13"/>
      <c r="C17" s="13"/>
      <c r="D17" s="9"/>
    </row>
    <row r="18" spans="1:13" s="2" customFormat="1" x14ac:dyDescent="0.3">
      <c r="A18" s="8"/>
      <c r="B18" s="13"/>
      <c r="C18" s="13"/>
      <c r="D18" s="9"/>
    </row>
    <row r="19" spans="1:13" s="2" customFormat="1" ht="15" thickBot="1" x14ac:dyDescent="0.35">
      <c r="A19" s="10" t="s">
        <v>10</v>
      </c>
      <c r="B19" s="14"/>
      <c r="C19" s="14"/>
      <c r="D19" s="9"/>
    </row>
    <row r="20" spans="1:13" ht="20.100000000000001" customHeight="1" thickTop="1" thickBot="1" x14ac:dyDescent="0.35">
      <c r="A20" s="6" t="s">
        <v>7</v>
      </c>
      <c r="B20" s="12"/>
      <c r="C20" s="12"/>
      <c r="D20" s="259">
        <v>600</v>
      </c>
    </row>
    <row r="21" spans="1:13" ht="5.0999999999999996" customHeight="1" thickTop="1" thickBot="1" x14ac:dyDescent="0.35">
      <c r="A21" s="6"/>
      <c r="B21" s="12"/>
      <c r="C21" s="12"/>
      <c r="D21" s="163"/>
    </row>
    <row r="22" spans="1:13" ht="20.100000000000001" customHeight="1" thickTop="1" thickBot="1" x14ac:dyDescent="0.35">
      <c r="A22" s="6" t="s">
        <v>8</v>
      </c>
      <c r="B22" s="12"/>
      <c r="C22" s="12"/>
      <c r="D22" s="259">
        <v>1</v>
      </c>
    </row>
    <row r="23" spans="1:13" ht="5.0999999999999996" customHeight="1" thickTop="1" thickBot="1" x14ac:dyDescent="0.35">
      <c r="A23" s="6"/>
      <c r="B23" s="12"/>
      <c r="C23" s="12"/>
      <c r="D23" s="163"/>
    </row>
    <row r="24" spans="1:13" ht="20.100000000000001" customHeight="1" thickTop="1" thickBot="1" x14ac:dyDescent="0.35">
      <c r="A24" s="6" t="s">
        <v>46</v>
      </c>
      <c r="B24" s="12"/>
      <c r="C24" s="12"/>
      <c r="D24" s="259" t="s">
        <v>5</v>
      </c>
    </row>
    <row r="25" spans="1:13" ht="5.0999999999999996" customHeight="1" thickTop="1" thickBot="1" x14ac:dyDescent="0.35">
      <c r="A25" s="6"/>
      <c r="B25" s="12"/>
      <c r="C25" s="12"/>
      <c r="D25" s="163"/>
    </row>
    <row r="26" spans="1:13" ht="20.100000000000001" customHeight="1" thickTop="1" thickBot="1" x14ac:dyDescent="0.35">
      <c r="A26" s="6" t="s">
        <v>6</v>
      </c>
      <c r="B26" s="12"/>
      <c r="C26" s="12"/>
      <c r="D26" s="259" t="s">
        <v>5</v>
      </c>
    </row>
    <row r="27" spans="1:13" ht="5.0999999999999996" customHeight="1" thickTop="1" x14ac:dyDescent="0.3">
      <c r="A27" s="6"/>
      <c r="B27" s="12"/>
      <c r="C27" s="12"/>
      <c r="D27" s="7"/>
    </row>
    <row r="28" spans="1:13" ht="20.100000000000001" customHeight="1" x14ac:dyDescent="0.3">
      <c r="A28" s="6" t="s">
        <v>409</v>
      </c>
      <c r="B28" s="12"/>
      <c r="C28" s="12"/>
      <c r="D28" s="206">
        <f>VLOOKUP($D$20,'Data Validation Tables'!$A$6:$E$24,5,FALSE)</f>
        <v>25107</v>
      </c>
    </row>
    <row r="29" spans="1:13" ht="5.0999999999999996" customHeight="1" x14ac:dyDescent="0.3">
      <c r="A29" s="6"/>
      <c r="B29" s="12"/>
      <c r="C29" s="12"/>
      <c r="D29" s="7"/>
    </row>
    <row r="30" spans="1:13" ht="20.100000000000001" customHeight="1" x14ac:dyDescent="0.3">
      <c r="A30" s="6" t="s">
        <v>350</v>
      </c>
      <c r="B30" s="12"/>
      <c r="C30" s="12"/>
      <c r="D30" s="260" t="s">
        <v>37</v>
      </c>
      <c r="E30" t="s">
        <v>1</v>
      </c>
    </row>
    <row r="31" spans="1:13" ht="5.0999999999999996" customHeight="1" x14ac:dyDescent="0.3">
      <c r="A31" s="6"/>
      <c r="B31" s="12"/>
      <c r="C31" s="12"/>
      <c r="D31" s="7"/>
    </row>
    <row r="32" spans="1:13" ht="20.100000000000001" customHeight="1" x14ac:dyDescent="0.3">
      <c r="A32" s="6" t="s">
        <v>247</v>
      </c>
      <c r="B32" s="12"/>
      <c r="C32" s="12"/>
      <c r="D32" s="206">
        <f>VLOOKUP($D$20,'Data Validation Tables'!$A$6:$D$24,4,FALSE)</f>
        <v>30</v>
      </c>
      <c r="F32" s="332"/>
      <c r="G32" s="332"/>
      <c r="H32" s="332"/>
      <c r="I32" s="332"/>
      <c r="J32" s="332"/>
      <c r="K32" s="332"/>
      <c r="L32" s="332"/>
      <c r="M32" s="332"/>
    </row>
    <row r="33" spans="1:13" ht="5.0999999999999996" customHeight="1" thickBot="1" x14ac:dyDescent="0.35">
      <c r="A33" s="6"/>
      <c r="B33" s="12"/>
      <c r="C33" s="12"/>
      <c r="D33" s="201"/>
      <c r="F33" s="332"/>
      <c r="G33" s="332"/>
      <c r="H33" s="332"/>
      <c r="I33" s="332"/>
      <c r="J33" s="332"/>
      <c r="K33" s="332"/>
      <c r="L33" s="332"/>
      <c r="M33" s="332"/>
    </row>
    <row r="34" spans="1:13" ht="20.100000000000001" customHeight="1" thickTop="1" thickBot="1" x14ac:dyDescent="0.35">
      <c r="A34" s="6" t="s">
        <v>198</v>
      </c>
      <c r="B34" s="12"/>
      <c r="C34" s="12"/>
      <c r="D34" s="259" t="s">
        <v>202</v>
      </c>
    </row>
    <row r="35" spans="1:13" ht="8.25" customHeight="1" thickTop="1" thickBot="1" x14ac:dyDescent="0.35">
      <c r="A35" s="6"/>
      <c r="B35" s="12"/>
      <c r="C35" s="12"/>
      <c r="D35" s="7"/>
    </row>
    <row r="36" spans="1:13" ht="20.100000000000001" customHeight="1" thickTop="1" thickBot="1" x14ac:dyDescent="0.35">
      <c r="A36" s="6" t="s">
        <v>9</v>
      </c>
      <c r="B36" s="12"/>
      <c r="C36" s="12"/>
      <c r="D36" s="259" t="s">
        <v>5</v>
      </c>
    </row>
    <row r="37" spans="1:13" ht="20.100000000000001" customHeight="1" thickTop="1" x14ac:dyDescent="0.3">
      <c r="A37" s="6"/>
      <c r="B37" s="12"/>
      <c r="C37" s="12"/>
      <c r="D37" s="7"/>
    </row>
    <row r="38" spans="1:13" ht="15" thickBot="1" x14ac:dyDescent="0.35">
      <c r="A38" s="10" t="s">
        <v>11</v>
      </c>
      <c r="B38" s="14"/>
      <c r="C38" s="14"/>
      <c r="D38" s="7"/>
    </row>
    <row r="39" spans="1:13" ht="20.100000000000001" customHeight="1" thickTop="1" thickBot="1" x14ac:dyDescent="0.35">
      <c r="A39" s="6" t="s">
        <v>12</v>
      </c>
      <c r="B39" s="12"/>
      <c r="C39" s="12"/>
      <c r="D39" s="259">
        <v>150</v>
      </c>
      <c r="E39" t="s">
        <v>1</v>
      </c>
    </row>
    <row r="40" spans="1:13" ht="5.0999999999999996" customHeight="1" thickTop="1" thickBot="1" x14ac:dyDescent="0.35">
      <c r="A40" s="6"/>
      <c r="B40" s="12"/>
      <c r="C40" s="12"/>
      <c r="D40" s="163"/>
    </row>
    <row r="41" spans="1:13" ht="20.100000000000001" customHeight="1" thickTop="1" thickBot="1" x14ac:dyDescent="0.35">
      <c r="A41" s="6" t="s">
        <v>13</v>
      </c>
      <c r="B41" s="12"/>
      <c r="C41" s="12"/>
      <c r="D41" s="259">
        <v>100</v>
      </c>
      <c r="E41" t="s">
        <v>1</v>
      </c>
      <c r="F41" s="12"/>
    </row>
    <row r="42" spans="1:13" ht="5.0999999999999996" customHeight="1" thickTop="1" thickBot="1" x14ac:dyDescent="0.35">
      <c r="A42" s="6"/>
      <c r="B42" s="12"/>
      <c r="C42" s="12"/>
      <c r="D42" s="163"/>
    </row>
    <row r="43" spans="1:13" ht="20.100000000000001" customHeight="1" thickTop="1" thickBot="1" x14ac:dyDescent="0.35">
      <c r="A43" s="6" t="s">
        <v>375</v>
      </c>
      <c r="B43" s="12"/>
      <c r="C43" s="12"/>
      <c r="D43" s="259" t="s">
        <v>17</v>
      </c>
      <c r="E43" t="s">
        <v>1</v>
      </c>
    </row>
    <row r="44" spans="1:13" ht="5.0999999999999996" customHeight="1" thickTop="1" thickBot="1" x14ac:dyDescent="0.35">
      <c r="A44" s="6"/>
      <c r="B44" s="12"/>
      <c r="C44" s="12"/>
      <c r="D44" s="163"/>
    </row>
    <row r="45" spans="1:13" ht="20.100000000000001" customHeight="1" thickTop="1" thickBot="1" x14ac:dyDescent="0.35">
      <c r="A45" s="6" t="s">
        <v>18</v>
      </c>
      <c r="B45" s="12"/>
      <c r="C45" s="12"/>
      <c r="D45" s="259" t="s">
        <v>5</v>
      </c>
      <c r="E45" t="s">
        <v>1</v>
      </c>
    </row>
    <row r="46" spans="1:13" ht="5.0999999999999996" customHeight="1" thickTop="1" thickBot="1" x14ac:dyDescent="0.35">
      <c r="A46" s="6"/>
      <c r="B46" s="12"/>
      <c r="C46" s="12"/>
      <c r="D46" s="163"/>
    </row>
    <row r="47" spans="1:13" ht="20.100000000000001" customHeight="1" thickTop="1" thickBot="1" x14ac:dyDescent="0.35">
      <c r="A47" s="6" t="s">
        <v>451</v>
      </c>
      <c r="B47" s="12"/>
      <c r="C47" s="12"/>
      <c r="D47" s="259" t="s">
        <v>5</v>
      </c>
    </row>
    <row r="48" spans="1:13" ht="5.0999999999999996" customHeight="1" thickTop="1" thickBot="1" x14ac:dyDescent="0.35">
      <c r="A48" s="6"/>
      <c r="B48" s="12"/>
      <c r="C48" s="12"/>
      <c r="D48" s="287"/>
    </row>
    <row r="49" spans="1:6" ht="20.100000000000001" customHeight="1" thickTop="1" thickBot="1" x14ac:dyDescent="0.35">
      <c r="A49" s="6" t="s">
        <v>19</v>
      </c>
      <c r="B49" s="12"/>
      <c r="C49" s="12"/>
      <c r="D49" s="259" t="s">
        <v>5</v>
      </c>
      <c r="E49" t="s">
        <v>1</v>
      </c>
      <c r="F49" t="s">
        <v>1</v>
      </c>
    </row>
    <row r="50" spans="1:6" ht="5.0999999999999996" customHeight="1" thickTop="1" thickBot="1" x14ac:dyDescent="0.35">
      <c r="A50" s="6"/>
      <c r="B50" s="12"/>
      <c r="C50" s="12"/>
      <c r="D50" s="163"/>
    </row>
    <row r="51" spans="1:6" ht="20.100000000000001" customHeight="1" thickTop="1" thickBot="1" x14ac:dyDescent="0.35">
      <c r="A51" s="6" t="s">
        <v>20</v>
      </c>
      <c r="B51" s="12"/>
      <c r="C51" s="12"/>
      <c r="D51" s="259" t="s">
        <v>5</v>
      </c>
      <c r="E51" t="s">
        <v>1</v>
      </c>
    </row>
    <row r="52" spans="1:6" ht="5.0999999999999996" customHeight="1" thickTop="1" thickBot="1" x14ac:dyDescent="0.35">
      <c r="A52" s="6"/>
      <c r="B52" s="12"/>
      <c r="C52" s="12"/>
      <c r="D52" s="163"/>
    </row>
    <row r="53" spans="1:6" ht="20.100000000000001" customHeight="1" thickTop="1" thickBot="1" x14ac:dyDescent="0.35">
      <c r="A53" s="6" t="s">
        <v>21</v>
      </c>
      <c r="B53" s="12"/>
      <c r="C53" s="12"/>
      <c r="D53" s="259" t="s">
        <v>397</v>
      </c>
      <c r="E53" t="s">
        <v>1</v>
      </c>
      <c r="F53" t="s">
        <v>1</v>
      </c>
    </row>
    <row r="54" spans="1:6" ht="5.0999999999999996" customHeight="1" thickTop="1" thickBot="1" x14ac:dyDescent="0.35">
      <c r="A54" s="6"/>
      <c r="B54" s="12"/>
      <c r="C54" s="12"/>
      <c r="D54" s="163"/>
    </row>
    <row r="55" spans="1:6" ht="20.100000000000001" customHeight="1" thickTop="1" thickBot="1" x14ac:dyDescent="0.35">
      <c r="A55" s="6" t="s">
        <v>22</v>
      </c>
      <c r="B55" s="12"/>
      <c r="C55" s="12"/>
      <c r="D55" s="259" t="s">
        <v>5</v>
      </c>
    </row>
    <row r="56" spans="1:6" ht="20.100000000000001" customHeight="1" thickTop="1" x14ac:dyDescent="0.3">
      <c r="A56" s="6"/>
      <c r="B56" s="12"/>
      <c r="C56" s="12"/>
      <c r="D56" s="7"/>
    </row>
    <row r="57" spans="1:6" ht="15" thickBot="1" x14ac:dyDescent="0.35">
      <c r="A57" s="10" t="s">
        <v>23</v>
      </c>
      <c r="B57" s="14"/>
      <c r="C57" s="14"/>
      <c r="D57" s="7"/>
    </row>
    <row r="58" spans="1:6" ht="20.100000000000001" customHeight="1" thickTop="1" thickBot="1" x14ac:dyDescent="0.35">
      <c r="A58" s="6" t="s">
        <v>14</v>
      </c>
      <c r="B58" s="12"/>
      <c r="C58" s="12"/>
      <c r="D58" s="259" t="s">
        <v>424</v>
      </c>
      <c r="F58" t="s">
        <v>1</v>
      </c>
    </row>
    <row r="59" spans="1:6" ht="5.0999999999999996" customHeight="1" thickTop="1" thickBot="1" x14ac:dyDescent="0.35">
      <c r="A59" s="6"/>
      <c r="B59" s="12"/>
      <c r="C59" s="12"/>
      <c r="D59" s="163"/>
    </row>
    <row r="60" spans="1:6" ht="20.100000000000001" customHeight="1" thickTop="1" thickBot="1" x14ac:dyDescent="0.35">
      <c r="A60" s="6" t="s">
        <v>244</v>
      </c>
      <c r="B60" s="12"/>
      <c r="C60" s="12"/>
      <c r="D60" s="259">
        <v>5</v>
      </c>
      <c r="E60" t="s">
        <v>1</v>
      </c>
    </row>
    <row r="61" spans="1:6" ht="5.0999999999999996" customHeight="1" thickTop="1" thickBot="1" x14ac:dyDescent="0.35">
      <c r="A61" s="6"/>
      <c r="B61" s="12"/>
      <c r="C61" s="12"/>
      <c r="D61" s="163"/>
    </row>
    <row r="62" spans="1:6" ht="20.100000000000001" customHeight="1" thickTop="1" thickBot="1" x14ac:dyDescent="0.35">
      <c r="A62" s="6" t="s">
        <v>24</v>
      </c>
      <c r="B62" s="12"/>
      <c r="C62" s="12"/>
      <c r="D62" s="259" t="s">
        <v>5</v>
      </c>
      <c r="E62" t="s">
        <v>1</v>
      </c>
    </row>
    <row r="63" spans="1:6" ht="7.5" customHeight="1" thickTop="1" thickBot="1" x14ac:dyDescent="0.35">
      <c r="A63" s="6"/>
      <c r="B63" s="12"/>
      <c r="C63" s="12"/>
      <c r="D63" s="163"/>
    </row>
    <row r="64" spans="1:6" ht="20.100000000000001" customHeight="1" thickTop="1" thickBot="1" x14ac:dyDescent="0.35">
      <c r="A64" s="6" t="s">
        <v>25</v>
      </c>
      <c r="B64" s="12"/>
      <c r="C64" s="12"/>
      <c r="D64" s="259" t="s">
        <v>5</v>
      </c>
    </row>
    <row r="65" spans="1:14" ht="20.100000000000001" customHeight="1" thickTop="1" x14ac:dyDescent="0.3">
      <c r="A65" s="6"/>
      <c r="B65" s="12"/>
      <c r="C65" s="12"/>
      <c r="D65" s="7"/>
      <c r="E65" t="s">
        <v>1</v>
      </c>
    </row>
    <row r="66" spans="1:14" ht="15" thickBot="1" x14ac:dyDescent="0.35">
      <c r="A66" s="10" t="s">
        <v>26</v>
      </c>
      <c r="B66" s="14"/>
      <c r="C66" s="14"/>
      <c r="D66" s="7"/>
    </row>
    <row r="67" spans="1:14" ht="20.100000000000001" customHeight="1" thickTop="1" thickBot="1" x14ac:dyDescent="0.35">
      <c r="A67" s="6" t="s">
        <v>27</v>
      </c>
      <c r="B67" s="12"/>
      <c r="C67" s="12"/>
      <c r="D67" s="259" t="s">
        <v>4</v>
      </c>
      <c r="E67" t="s">
        <v>1</v>
      </c>
    </row>
    <row r="68" spans="1:14" ht="5.0999999999999996" customHeight="1" thickTop="1" thickBot="1" x14ac:dyDescent="0.35">
      <c r="A68" s="6"/>
      <c r="B68" s="12"/>
      <c r="C68" s="12"/>
      <c r="D68" s="163"/>
    </row>
    <row r="69" spans="1:14" ht="20.100000000000001" customHeight="1" thickTop="1" thickBot="1" x14ac:dyDescent="0.35">
      <c r="A69" s="6" t="s">
        <v>28</v>
      </c>
      <c r="B69" s="12"/>
      <c r="C69" s="12"/>
      <c r="D69" s="259" t="s">
        <v>379</v>
      </c>
      <c r="E69" t="s">
        <v>1</v>
      </c>
    </row>
    <row r="70" spans="1:14" ht="5.0999999999999996" customHeight="1" thickTop="1" thickBot="1" x14ac:dyDescent="0.35">
      <c r="A70" s="6"/>
      <c r="B70" s="12"/>
      <c r="C70" s="12"/>
      <c r="D70" s="163"/>
      <c r="N70" t="s">
        <v>476</v>
      </c>
    </row>
    <row r="71" spans="1:14" ht="20.100000000000001" customHeight="1" thickTop="1" thickBot="1" x14ac:dyDescent="0.35">
      <c r="A71" s="6" t="s">
        <v>29</v>
      </c>
      <c r="B71" s="12"/>
      <c r="C71" s="12"/>
      <c r="D71" s="259" t="s">
        <v>5</v>
      </c>
      <c r="E71" t="s">
        <v>1</v>
      </c>
      <c r="I71" t="s">
        <v>1</v>
      </c>
    </row>
    <row r="72" spans="1:14" ht="5.0999999999999996" customHeight="1" thickTop="1" thickBot="1" x14ac:dyDescent="0.35">
      <c r="A72" s="6"/>
      <c r="B72" s="12"/>
      <c r="C72" s="12"/>
      <c r="D72" s="163"/>
    </row>
    <row r="73" spans="1:14" ht="20.100000000000001" customHeight="1" thickTop="1" thickBot="1" x14ac:dyDescent="0.35">
      <c r="A73" s="6" t="s">
        <v>30</v>
      </c>
      <c r="B73" s="12"/>
      <c r="C73" s="12"/>
      <c r="D73" s="259" t="s">
        <v>4</v>
      </c>
      <c r="E73" t="s">
        <v>1</v>
      </c>
    </row>
    <row r="74" spans="1:14" ht="5.0999999999999996" customHeight="1" thickTop="1" thickBot="1" x14ac:dyDescent="0.35">
      <c r="A74" s="6"/>
      <c r="B74" s="12"/>
      <c r="C74" s="12"/>
      <c r="D74" s="163"/>
      <c r="N74" t="s">
        <v>477</v>
      </c>
    </row>
    <row r="75" spans="1:14" ht="20.100000000000001" customHeight="1" thickTop="1" thickBot="1" x14ac:dyDescent="0.35">
      <c r="A75" s="6" t="s">
        <v>31</v>
      </c>
      <c r="B75" s="12"/>
      <c r="C75" s="12"/>
      <c r="D75" s="259" t="s">
        <v>5</v>
      </c>
    </row>
    <row r="76" spans="1:14" ht="4.5" customHeight="1" thickTop="1" thickBot="1" x14ac:dyDescent="0.35">
      <c r="A76" s="6"/>
      <c r="B76" s="12"/>
      <c r="C76" s="12"/>
      <c r="D76" s="163"/>
    </row>
    <row r="77" spans="1:14" ht="20.100000000000001" customHeight="1" thickTop="1" thickBot="1" x14ac:dyDescent="0.35">
      <c r="A77" s="6" t="s">
        <v>32</v>
      </c>
      <c r="B77" s="12"/>
      <c r="C77" s="12"/>
      <c r="D77" s="259">
        <v>12345</v>
      </c>
    </row>
    <row r="78" spans="1:14" ht="4.5" customHeight="1" thickTop="1" thickBot="1" x14ac:dyDescent="0.35">
      <c r="A78" s="6"/>
      <c r="B78" s="12"/>
      <c r="C78" s="12"/>
      <c r="D78" s="163"/>
    </row>
    <row r="79" spans="1:14" ht="20.100000000000001" customHeight="1" thickTop="1" thickBot="1" x14ac:dyDescent="0.35">
      <c r="A79" s="6" t="s">
        <v>480</v>
      </c>
      <c r="B79" s="12"/>
      <c r="C79" s="12"/>
      <c r="D79" s="259" t="s">
        <v>4</v>
      </c>
      <c r="E79" t="s">
        <v>1</v>
      </c>
    </row>
    <row r="80" spans="1:14" ht="20.100000000000001" customHeight="1" thickTop="1" x14ac:dyDescent="0.3">
      <c r="A80" s="6"/>
      <c r="B80" s="12"/>
      <c r="C80" s="12"/>
      <c r="D80" s="7"/>
      <c r="E80" t="s">
        <v>1</v>
      </c>
    </row>
    <row r="81" spans="1:6" ht="15" thickBot="1" x14ac:dyDescent="0.35">
      <c r="A81" s="10" t="s">
        <v>33</v>
      </c>
      <c r="B81" s="14"/>
      <c r="C81" s="14"/>
      <c r="D81" s="7"/>
    </row>
    <row r="82" spans="1:6" ht="20.100000000000001" customHeight="1" thickTop="1" thickBot="1" x14ac:dyDescent="0.35">
      <c r="A82" s="6" t="s">
        <v>34</v>
      </c>
      <c r="B82" s="12"/>
      <c r="C82" s="12"/>
      <c r="D82" s="259" t="s">
        <v>5</v>
      </c>
      <c r="E82" t="s">
        <v>1</v>
      </c>
    </row>
    <row r="83" spans="1:6" ht="5.0999999999999996" customHeight="1" thickTop="1" thickBot="1" x14ac:dyDescent="0.35">
      <c r="A83" s="6"/>
      <c r="B83" s="12"/>
      <c r="C83" s="12"/>
      <c r="D83" s="163"/>
    </row>
    <row r="84" spans="1:6" ht="20.100000000000001" customHeight="1" thickTop="1" thickBot="1" x14ac:dyDescent="0.35">
      <c r="A84" s="6" t="s">
        <v>35</v>
      </c>
      <c r="B84" s="12"/>
      <c r="C84" s="12"/>
      <c r="D84" s="259" t="s">
        <v>5</v>
      </c>
      <c r="E84" t="s">
        <v>1</v>
      </c>
      <c r="F84" s="12"/>
    </row>
    <row r="85" spans="1:6" ht="5.0999999999999996" customHeight="1" thickTop="1" thickBot="1" x14ac:dyDescent="0.35">
      <c r="A85" s="6"/>
      <c r="B85" s="12"/>
      <c r="C85" s="12"/>
      <c r="D85" s="163"/>
    </row>
    <row r="86" spans="1:6" ht="20.100000000000001" customHeight="1" thickTop="1" thickBot="1" x14ac:dyDescent="0.35">
      <c r="A86" s="6" t="s">
        <v>38</v>
      </c>
      <c r="B86" s="12"/>
      <c r="C86" s="12"/>
      <c r="D86" s="259" t="s">
        <v>40</v>
      </c>
      <c r="E86" t="s">
        <v>1</v>
      </c>
    </row>
    <row r="87" spans="1:6" ht="5.0999999999999996" customHeight="1" thickTop="1" thickBot="1" x14ac:dyDescent="0.35">
      <c r="A87" s="6"/>
      <c r="B87" s="12"/>
      <c r="C87" s="12"/>
      <c r="D87" s="163"/>
    </row>
    <row r="88" spans="1:6" ht="20.100000000000001" customHeight="1" thickTop="1" thickBot="1" x14ac:dyDescent="0.35">
      <c r="A88" s="6" t="s">
        <v>41</v>
      </c>
      <c r="B88" s="12"/>
      <c r="C88" s="12"/>
      <c r="D88" s="259" t="s">
        <v>5</v>
      </c>
      <c r="E88" t="s">
        <v>1</v>
      </c>
    </row>
    <row r="89" spans="1:6" ht="5.0999999999999996" customHeight="1" thickTop="1" x14ac:dyDescent="0.3">
      <c r="A89" s="6"/>
      <c r="B89" s="12"/>
      <c r="C89" s="12"/>
      <c r="D89" s="318"/>
    </row>
    <row r="90" spans="1:6" ht="5.0999999999999996" customHeight="1" thickBot="1" x14ac:dyDescent="0.35">
      <c r="A90" s="6"/>
      <c r="B90" s="12"/>
      <c r="C90" s="12"/>
      <c r="D90" s="317"/>
    </row>
    <row r="91" spans="1:6" ht="20.100000000000001" customHeight="1" thickTop="1" thickBot="1" x14ac:dyDescent="0.35">
      <c r="A91" s="6" t="s">
        <v>182</v>
      </c>
      <c r="B91" s="12"/>
      <c r="C91" s="12"/>
      <c r="D91" s="259" t="s">
        <v>4</v>
      </c>
    </row>
    <row r="92" spans="1:6" ht="20.100000000000001" customHeight="1" thickTop="1" x14ac:dyDescent="0.3">
      <c r="A92" s="68"/>
      <c r="B92" s="12"/>
      <c r="C92" s="12"/>
      <c r="D92" s="309"/>
    </row>
    <row r="93" spans="1:6" ht="20.100000000000001" customHeight="1" thickBot="1" x14ac:dyDescent="0.35">
      <c r="A93" s="92"/>
      <c r="B93" s="93"/>
      <c r="C93" s="93"/>
      <c r="D93" s="310"/>
    </row>
    <row r="94" spans="1:6" ht="20.100000000000001" customHeight="1" x14ac:dyDescent="0.3"/>
    <row r="95" spans="1:6" ht="20.100000000000001" customHeight="1" x14ac:dyDescent="0.3"/>
    <row r="96" spans="1:6" ht="20.100000000000001" customHeight="1" x14ac:dyDescent="0.3"/>
    <row r="97" ht="20.100000000000001" customHeight="1" x14ac:dyDescent="0.3"/>
    <row r="98" ht="20.100000000000001" customHeight="1" x14ac:dyDescent="0.3"/>
    <row r="99" ht="20.100000000000001" customHeight="1" x14ac:dyDescent="0.3"/>
  </sheetData>
  <sheetProtection algorithmName="SHA-512" hashValue="AP1+l5/kJZsksNFmppAYjBaxAyPdxVybP8LSiemFL7GdGzzCVpCv09sduCzkBpOiunskpcOF8315rQKv2Y10xA==" saltValue="ElntlCgLNzV+3Kzwt+BMSw==" spinCount="100000" sheet="1" selectLockedCells="1"/>
  <customSheetViews>
    <customSheetView guid="{2D4CE29E-74EC-4B9B-B32E-1D5C2973539A}" showPageBreaks="1" printArea="1">
      <selection activeCell="F16" sqref="F16"/>
      <pageMargins left="0.7" right="0.7" top="0.75" bottom="0.75" header="0.3" footer="0.3"/>
      <pageSetup orientation="portrait" horizontalDpi="0" verticalDpi="0" r:id="rId1"/>
    </customSheetView>
  </customSheetViews>
  <mergeCells count="2">
    <mergeCell ref="A5:D5"/>
    <mergeCell ref="F32:M33"/>
  </mergeCells>
  <dataValidations count="4">
    <dataValidation type="whole" showInputMessage="1" showErrorMessage="1" sqref="D22" xr:uid="{B7906D69-1870-4805-9662-5F4B54EE83FD}">
      <formula1>1</formula1>
      <formula2>100</formula2>
    </dataValidation>
    <dataValidation type="date" allowBlank="1" showInputMessage="1" showErrorMessage="1" sqref="B15" xr:uid="{EED21D73-45E7-4FE4-865F-81EAFD34F868}">
      <formula1>45610</formula1>
      <formula2>46022</formula2>
    </dataValidation>
    <dataValidation allowBlank="1" showInputMessage="1" showErrorMessage="1" promptTitle="Special Paint" prompt="Please input PPG paint number." sqref="D77:D78" xr:uid="{717E4B4B-D434-4A24-AF76-81C927343C83}"/>
    <dataValidation allowBlank="1" showInputMessage="1" showErrorMessage="1" promptTitle="Motor Enclosure" prompt="ODP motor enclosure is only available for 3HP and under.  Please contact factory for assistance._x000a_" sqref="D30:D32" xr:uid="{481EF714-61D2-4F4B-B077-405B7E9F9541}"/>
  </dataValidations>
  <pageMargins left="0.7" right="0.7" top="0.75" bottom="0.75" header="0.3" footer="0.3"/>
  <pageSetup orientation="portrait" horizontalDpi="0" verticalDpi="0" r:id="rId2"/>
  <drawing r:id="rId3"/>
  <legacyDrawing r:id="rId4"/>
  <mc:AlternateContent xmlns:mc="http://schemas.openxmlformats.org/markup-compatibility/2006">
    <mc:Choice Requires="x14">
      <controls>
        <mc:AlternateContent xmlns:mc="http://schemas.openxmlformats.org/markup-compatibility/2006">
          <mc:Choice Requires="x14">
            <control shapeId="2052" r:id="rId5" name="Button 4">
              <controlPr locked="0" defaultSize="0" print="0" autoFill="0" autoPict="0" macro="[0]!ClearContentExamples">
                <anchor moveWithCells="1" sizeWithCells="1">
                  <from>
                    <xdr:col>3</xdr:col>
                    <xdr:colOff>22860</xdr:colOff>
                    <xdr:row>2</xdr:row>
                    <xdr:rowOff>22860</xdr:rowOff>
                  </from>
                  <to>
                    <xdr:col>3</xdr:col>
                    <xdr:colOff>754380</xdr:colOff>
                    <xdr:row>3</xdr:row>
                    <xdr:rowOff>22860</xdr:rowOff>
                  </to>
                </anchor>
              </controlPr>
            </control>
          </mc:Choice>
        </mc:AlternateContent>
        <mc:AlternateContent xmlns:mc="http://schemas.openxmlformats.org/markup-compatibility/2006">
          <mc:Choice Requires="x14">
            <control shapeId="2060" r:id="rId6" name="Button 12">
              <controlPr defaultSize="0" print="0" autoFill="0" autoPict="0" macro="[0]!Calculate" altText="Calculate">
                <anchor moveWithCells="1" sizeWithCells="1">
                  <from>
                    <xdr:col>2</xdr:col>
                    <xdr:colOff>22860</xdr:colOff>
                    <xdr:row>92</xdr:row>
                    <xdr:rowOff>22860</xdr:rowOff>
                  </from>
                  <to>
                    <xdr:col>3</xdr:col>
                    <xdr:colOff>7620</xdr:colOff>
                    <xdr:row>92</xdr:row>
                    <xdr:rowOff>228600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0">
        <x14:dataValidation type="list" showInputMessage="1" showErrorMessage="1" xr:uid="{1958C246-DDFA-4BDA-B9A9-1C6B50C045EA}">
          <x14:formula1>
            <xm:f>'Data Validation Tables'!$A$2:$A$24</xm:f>
          </x14:formula1>
          <xm:sqref>D20</xm:sqref>
        </x14:dataValidation>
        <x14:dataValidation type="list" allowBlank="1" showInputMessage="1" showErrorMessage="1" xr:uid="{55CEBB10-D7C5-443E-905B-FD4FC10A27F9}">
          <x14:formula1>
            <xm:f>'Data Validation Tables'!$C$2:$C$3</xm:f>
          </x14:formula1>
          <xm:sqref>D56 D89:D90</xm:sqref>
        </x14:dataValidation>
        <x14:dataValidation type="list" allowBlank="1" showInputMessage="1" showErrorMessage="1" promptTitle="Weather Exposure" prompt="Indoor or outdoor installation?" xr:uid="{B47119FA-0EB6-4448-8D79-F78E63891693}">
          <x14:formula1>
            <xm:f>'Data Validation Tables'!$C$2:$C$3</xm:f>
          </x14:formula1>
          <xm:sqref>D26</xm:sqref>
        </x14:dataValidation>
        <x14:dataValidation type="list" showInputMessage="1" showErrorMessage="1" promptTitle="Blowdown Separator" prompt="Blowdown Separators ship separately._x000a_" xr:uid="{D6AF0427-8E98-4A41-97DC-43EC20C69168}">
          <x14:formula1>
            <xm:f>'Data Validation Tables'!$C$2:$C$3</xm:f>
          </x14:formula1>
          <xm:sqref>D49</xm:sqref>
        </x14:dataValidation>
        <x14:dataValidation type="list" showInputMessage="1" showErrorMessage="1" promptTitle="Damper" prompt="A Manual Stack Damper is the only option." xr:uid="{37D85BF0-C043-4651-AA72-5EF112066EB7}">
          <x14:formula1>
            <xm:f>'Data Validation Tables'!$C$2:$C$3</xm:f>
          </x14:formula1>
          <xm:sqref>D67</xm:sqref>
        </x14:dataValidation>
        <x14:dataValidation type="list" showInputMessage="1" showErrorMessage="1" promptTitle="Jacket" prompt="A Painted Galvanized Steel Jacket is Standard." xr:uid="{F2361D1D-4E5A-4377-9308-F6AD2585BEED}">
          <x14:formula1>
            <xm:f>'Data Validation Tables'!$C$2:$C$3</xm:f>
          </x14:formula1>
          <xm:sqref>D73</xm:sqref>
        </x14:dataValidation>
        <x14:dataValidation type="list" allowBlank="1" showInputMessage="1" showErrorMessage="1" promptTitle="Custom Paint" prompt="If your answer is Yes, please provide the PPG number in the below cell._x000a_" xr:uid="{F3931F4E-9B11-4833-BDAC-8FC0E6BA4F91}">
          <x14:formula1>
            <xm:f>'Data Validation Tables'!$C$2:$C$3</xm:f>
          </x14:formula1>
          <xm:sqref>D75</xm:sqref>
        </x14:dataValidation>
        <x14:dataValidation type="list" showInputMessage="1" showErrorMessage="1" promptTitle="Protocol" prompt="Modbus comes standard and is better suited for industrial applications. BACnet is primarily used for building automation systems.  " xr:uid="{4D0AC416-FBCD-4CE2-B3BD-A25AD296C415}">
          <x14:formula1>
            <xm:f>'Data Validation Tables'!$C$2:$C$3</xm:f>
          </x14:formula1>
          <xm:sqref>D91:D92</xm:sqref>
        </x14:dataValidation>
        <x14:dataValidation type="list" showInputMessage="1" showErrorMessage="1" promptTitle="NFPA 85" prompt="NFPA 85 contributes to operating safety and prevents explosions and implosions in boiler with greater than 12.5 MMBTUH, pulverized fuel systems, and heat recovery steam generators." xr:uid="{B0262559-D5A4-4328-A02C-977097A1BF7F}">
          <x14:formula1>
            <xm:f>'Data Validation Tables'!$C$2:$C$3</xm:f>
          </x14:formula1>
          <xm:sqref>D24</xm:sqref>
        </x14:dataValidation>
        <x14:dataValidation type="list" showInputMessage="1" showErrorMessage="1" xr:uid="{448B1380-035A-4C6E-ACA7-0C6B176B4050}">
          <x14:formula1>
            <xm:f>'Data Validation Tables'!$G$2:$G$6</xm:f>
          </x14:formula1>
          <xm:sqref>D39</xm:sqref>
        </x14:dataValidation>
        <x14:dataValidation type="list" allowBlank="1" showInputMessage="1" showErrorMessage="1" promptTitle="Alarm" prompt="A low water alarm comes standard.  If you select YES you will get both a low water and a high water alarm." xr:uid="{7BE268CD-A4C3-44D4-9011-470148B95FC1}">
          <x14:formula1>
            <xm:f>'Data Validation Tables'!$P$2:$P$4</xm:f>
          </x14:formula1>
          <xm:sqref>D87</xm:sqref>
        </x14:dataValidation>
        <x14:dataValidation type="list" allowBlank="1" showInputMessage="1" showErrorMessage="1" xr:uid="{47BE71A7-CF45-4F95-A5F1-963B2D541F94}">
          <x14:formula1>
            <xm:f>'Data Validation Tables'!$X$3:$X$53</xm:f>
          </x14:formula1>
          <xm:sqref>B13:B14</xm:sqref>
        </x14:dataValidation>
        <x14:dataValidation type="list" showInputMessage="1" showErrorMessage="1" xr:uid="{C69FDB9E-ACA6-4BF8-90C7-FC6D41E34DC3}">
          <x14:formula1>
            <xm:f>'Data Validation Tables'!$AO$3:$AO$8</xm:f>
          </x14:formula1>
          <xm:sqref>D34</xm:sqref>
        </x14:dataValidation>
        <x14:dataValidation type="list" allowBlank="1" showInputMessage="1" showErrorMessage="1" promptTitle="VFD Options" prompt="Note:  A VFD is only available if you use a TEFC motor." xr:uid="{53567873-A41A-4F17-9DE7-84527A1267C6}">
          <x14:formula1>
            <xm:f>'Data Validation Tables'!$AD$3:$AD$4</xm:f>
          </x14:formula1>
          <xm:sqref>D85</xm:sqref>
        </x14:dataValidation>
        <x14:dataValidation type="list" allowBlank="1" showInputMessage="1" showErrorMessage="1" promptTitle="NFPA 85" prompt="NFPA 85 contributes to operating safety and prevents explosions and implosions in boiler with greater than 12.5 MMBTUH, pulverized fuel systems, and heat recovery steam generators." xr:uid="{40B475CA-ED3F-443A-B691-7042305E7B39}">
          <x14:formula1>
            <xm:f>'Data Validation Tables'!$N$2:$N$3</xm:f>
          </x14:formula1>
          <xm:sqref>D30:D32</xm:sqref>
        </x14:dataValidation>
        <x14:dataValidation type="list" showInputMessage="1" showErrorMessage="1" promptTitle="Fuel" prompt="If you are not using Natural Gas or Propane please contact the factory for a quote._x000a__x000a_Dual fuel is natural gas &amp; propane." xr:uid="{26045BFF-0052-48E2-A4DD-48C4CA5854BF}">
          <x14:formula1>
            <xm:f>'Data Validation Tables'!$I$2:$I$4</xm:f>
          </x14:formula1>
          <xm:sqref>D58</xm:sqref>
        </x14:dataValidation>
        <x14:dataValidation type="list" allowBlank="1" showInputMessage="1" showErrorMessage="1" promptTitle="O2 Trim Option" prompt="Note:  O2 Trim is only available if you use a TEFC motor._x000a_" xr:uid="{3B3C040C-E66F-4722-B9C4-A13CDF55D766}">
          <x14:formula1>
            <xm:f>'Data Validation Tables'!$AD$3:$AD$4</xm:f>
          </x14:formula1>
          <xm:sqref>D83</xm:sqref>
        </x14:dataValidation>
        <x14:dataValidation type="list" showInputMessage="1" showErrorMessage="1" promptTitle="Fused Disconnect Switch" prompt="A heavy duty three pole disconnect switch with fused mounted in lieu of the junction box normally furnished. Price includes the fuses." xr:uid="{0F85D4D2-AEAF-4FA0-858A-D634467C951D}">
          <x14:formula1>
            <xm:f>'Data Validation Tables'!$P$10:$P$12</xm:f>
          </x14:formula1>
          <xm:sqref>D69</xm:sqref>
        </x14:dataValidation>
        <x14:dataValidation type="list" showInputMessage="1" showErrorMessage="1" promptTitle="Modulating Feed Water Valve" prompt="Digital - Belimo valve good up to 150 PSI._x000a_Linkage - Stoermer valve good up to 300 PSI with MM 193-7B float included.  _x000a__x000a_3-Valve Bypass is included in pricing." xr:uid="{560263BA-8DA2-4F40-8024-B53A0C031DC0}">
          <x14:formula1>
            <xm:f>Options!$AB$98:$AB$100</xm:f>
          </x14:formula1>
          <xm:sqref>D53</xm:sqref>
        </x14:dataValidation>
        <x14:dataValidation type="list" showInputMessage="1" showErrorMessage="1" promptTitle="Relief Door Shield" prompt="A shield on the rear door of an immersion boiler or water heater to prevent crowding or obstruction of the door." xr:uid="{7E6B4AD9-9DF8-492A-B092-D5212C054FA2}">
          <x14:formula1>
            <xm:f>'Data Validation Tables'!$C$2:$C$3</xm:f>
          </x14:formula1>
          <xm:sqref>D71</xm:sqref>
        </x14:dataValidation>
        <x14:dataValidation type="list" showInputMessage="1" showErrorMessage="1" errorTitle="Gas Inlet Pressure Warning" error="Gas inlet pressure is out of range.  " promptTitle="Gas Inlet Pressure" prompt="Gas inlet pressure range is 1-5 PSI for 40HP to 250HP and 2-10 PSI for 300HP and above." xr:uid="{47C8F786-5CCB-4354-BCB4-5AECBF4DB470}">
          <x14:formula1>
            <xm:f>'Data Validation Tables'!$AY$15:$AY$27</xm:f>
          </x14:formula1>
          <xm:sqref>D60</xm:sqref>
        </x14:dataValidation>
        <x14:dataValidation type="list" showInputMessage="1" showErrorMessage="1" xr:uid="{D4CECE76-1A92-4434-9BD6-ABF586A74AFC}">
          <x14:formula1>
            <xm:f>'Data Validation Tables'!$C$2:$C$3</xm:f>
          </x14:formula1>
          <xm:sqref>D36 D88 D51 D62 D64 D55</xm:sqref>
        </x14:dataValidation>
        <x14:dataValidation type="list" showInputMessage="1" showErrorMessage="1" promptTitle="O2 Trim Option" prompt="Note:  O2 Trim is only available if you use a TEFC motor._x000a_" xr:uid="{B065C107-EADB-4DF5-A895-FB09EE529FF9}">
          <x14:formula1>
            <xm:f>'Data Validation Tables'!$AD$3:$AD$4</xm:f>
          </x14:formula1>
          <xm:sqref>D82</xm:sqref>
        </x14:dataValidation>
        <x14:dataValidation type="list" showInputMessage="1" showErrorMessage="1" promptTitle="VFD Options" prompt="Note:  A VFD is only available if you use a TEFC motor." xr:uid="{B769EEAC-E928-4079-9549-5BEB2088F9B8}">
          <x14:formula1>
            <xm:f>'Data Validation Tables'!$AD$3:$AD$4</xm:f>
          </x14:formula1>
          <xm:sqref>D84</xm:sqref>
        </x14:dataValidation>
        <x14:dataValidation type="list" showInputMessage="1" showErrorMessage="1" promptTitle="Alarm" prompt="A low water alarm comes standard.  If you select YES you will get both a low water and a high water alarm." xr:uid="{037A1BD4-8133-4803-9B53-56CA0594F3FA}">
          <x14:formula1>
            <xm:f>'Data Validation Tables'!$P$2:$P$4</xm:f>
          </x14:formula1>
          <xm:sqref>D86</xm:sqref>
        </x14:dataValidation>
        <x14:dataValidation type="list" showInputMessage="1" showErrorMessage="1" xr:uid="{17940E92-5293-43D4-A1FC-22D51F8C835C}">
          <x14:formula1>
            <xm:f>IF($D$39&lt;300,Options!$AB$50:$AB$52,Options!$AF$50:$AF$51)</xm:f>
          </x14:formula1>
          <xm:sqref>D43</xm:sqref>
        </x14:dataValidation>
        <x14:dataValidation type="list" allowBlank="1" showInputMessage="1" showErrorMessage="1" promptTitle="Bottom Blowdown Valves" prompt="High pressure steam boilers should have two blowdown valves (one quick &amp; one slow opening).  Low pressure (15 PSI)steam boilers should have at least one slow opening valve.  Price includes installation. " xr:uid="{E948085F-3E19-4C93-8786-92376D76EAD6}">
          <x14:formula1>
            <xm:f>'Data Validation Tables'!$C$2:$C$3</xm:f>
          </x14:formula1>
          <xm:sqref>D45</xm:sqref>
        </x14:dataValidation>
        <x14:dataValidation type="list" allowBlank="1" showInputMessage="1" showErrorMessage="1" xr:uid="{FEDE29AF-8E43-4DD2-9AE3-F2CB13119C2E}">
          <x14:formula1>
            <xm:f>'Data Validation Tables'!$AD$8:$AD$10</xm:f>
          </x14:formula1>
          <xm:sqref>D47</xm:sqref>
        </x14:dataValidation>
        <x14:dataValidation type="list" allowBlank="1" showInputMessage="1" showErrorMessage="1" promptTitle="NOx Emissions Requirements" prompt="Standard is &lt;50 ppm" xr:uid="{D1B2D3B8-C9FD-46A3-9F73-D31E3A2D6382}">
          <x14:formula1>
            <xm:f>'Data Validation Tables'!$C$2:$C$3</xm:f>
          </x14:formula1>
          <xm:sqref>D79</xm:sqref>
        </x14:dataValidation>
        <x14:dataValidation type="decimal" showInputMessage="1" showErrorMessage="1" errorTitle="Error" error="Operating Pressure out of range" promptTitle="Operating Pressure" prompt="Operating pressure must be within 10-85% of design pressure." xr:uid="{D2223195-FAAA-4E45-9FB6-CAC789B00CFD}">
          <x14:formula1>
            <xm:f>VLOOKUP(D39,'Data Validation Tables'!T22:V26,2,FALSE)</xm:f>
          </x14:formula1>
          <x14:formula2>
            <xm:f>VLOOKUP(D39,'Data Validation Tables'!T22:V26,3,FALSE)</xm:f>
          </x14:formula2>
          <xm:sqref>D41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14541D-E422-4ABA-92F4-CAFF2062F63D}">
  <sheetPr codeName="Sheet2"/>
  <dimension ref="A1:AI325"/>
  <sheetViews>
    <sheetView topLeftCell="L1" zoomScale="85" zoomScaleNormal="85" workbookViewId="0">
      <selection activeCell="AA104" sqref="AA104"/>
    </sheetView>
  </sheetViews>
  <sheetFormatPr defaultRowHeight="14.4" x14ac:dyDescent="0.3"/>
  <cols>
    <col min="1" max="1" width="36.88671875" bestFit="1" customWidth="1"/>
    <col min="2" max="2" width="9" style="141" bestFit="1" customWidth="1"/>
    <col min="3" max="3" width="43.44140625" bestFit="1" customWidth="1"/>
    <col min="4" max="4" width="10" bestFit="1" customWidth="1"/>
    <col min="5" max="5" width="4" bestFit="1" customWidth="1"/>
    <col min="7" max="7" width="11.5546875" style="270" customWidth="1"/>
    <col min="8" max="8" width="10" customWidth="1"/>
    <col min="11" max="11" width="12.5546875" customWidth="1"/>
    <col min="12" max="12" width="11.88671875" customWidth="1"/>
    <col min="13" max="13" width="19" bestFit="1" customWidth="1"/>
    <col min="14" max="14" width="16.33203125" bestFit="1" customWidth="1"/>
    <col min="15" max="15" width="13.6640625" bestFit="1" customWidth="1"/>
    <col min="16" max="16" width="11.5546875" bestFit="1" customWidth="1"/>
    <col min="17" max="17" width="10.5546875" bestFit="1" customWidth="1"/>
    <col min="18" max="19" width="10.6640625" customWidth="1"/>
    <col min="20" max="20" width="13.109375" customWidth="1"/>
    <col min="21" max="22" width="10.6640625" customWidth="1"/>
    <col min="23" max="23" width="10.88671875" customWidth="1"/>
    <col min="24" max="24" width="12.109375" bestFit="1" customWidth="1"/>
    <col min="27" max="27" width="11.44140625" customWidth="1"/>
    <col min="28" max="28" width="11.6640625" bestFit="1" customWidth="1"/>
    <col min="29" max="29" width="11.5546875" bestFit="1" customWidth="1"/>
    <col min="30" max="30" width="10.5546875" bestFit="1" customWidth="1"/>
    <col min="31" max="31" width="10" bestFit="1" customWidth="1"/>
    <col min="32" max="32" width="11.109375" bestFit="1" customWidth="1"/>
    <col min="33" max="33" width="19.5546875" customWidth="1"/>
  </cols>
  <sheetData>
    <row r="1" spans="1:32" ht="43.2" x14ac:dyDescent="0.3">
      <c r="A1" s="102" t="s">
        <v>184</v>
      </c>
      <c r="D1" t="s">
        <v>203</v>
      </c>
      <c r="E1" t="s">
        <v>196</v>
      </c>
      <c r="F1" t="s">
        <v>208</v>
      </c>
      <c r="G1" s="269" t="s">
        <v>440</v>
      </c>
      <c r="H1" s="268"/>
      <c r="P1" t="s">
        <v>203</v>
      </c>
      <c r="Q1" s="213" t="s">
        <v>354</v>
      </c>
      <c r="R1" s="216" t="s">
        <v>193</v>
      </c>
      <c r="S1" s="216" t="s">
        <v>365</v>
      </c>
      <c r="T1" s="216" t="s">
        <v>376</v>
      </c>
      <c r="U1" s="216" t="s">
        <v>377</v>
      </c>
      <c r="V1" s="125" t="s">
        <v>1</v>
      </c>
    </row>
    <row r="2" spans="1:32" ht="18" x14ac:dyDescent="0.35">
      <c r="A2" t="s">
        <v>194</v>
      </c>
      <c r="B2" s="141">
        <v>1500</v>
      </c>
      <c r="F2" t="s">
        <v>1</v>
      </c>
      <c r="P2">
        <v>40</v>
      </c>
      <c r="Q2" s="212">
        <v>3000</v>
      </c>
      <c r="R2" s="212">
        <v>1000</v>
      </c>
      <c r="S2" s="212">
        <f>9000+AG33</f>
        <v>9900</v>
      </c>
      <c r="T2" s="212">
        <v>800</v>
      </c>
      <c r="U2" s="212">
        <v>1800</v>
      </c>
      <c r="V2" s="160"/>
      <c r="X2" s="211" t="s">
        <v>226</v>
      </c>
      <c r="Y2" s="254"/>
      <c r="AA2" s="211" t="s">
        <v>212</v>
      </c>
      <c r="AB2" s="213"/>
      <c r="AC2" s="213"/>
      <c r="AD2" s="213"/>
      <c r="AE2" s="213"/>
      <c r="AF2" s="213"/>
    </row>
    <row r="3" spans="1:32" ht="15" thickBot="1" x14ac:dyDescent="0.35">
      <c r="A3" t="s">
        <v>195</v>
      </c>
      <c r="B3" s="160">
        <v>280</v>
      </c>
      <c r="D3">
        <v>40</v>
      </c>
      <c r="E3">
        <v>15</v>
      </c>
      <c r="F3" t="s">
        <v>204</v>
      </c>
      <c r="G3" s="270">
        <v>750</v>
      </c>
      <c r="P3">
        <v>50</v>
      </c>
      <c r="Q3" s="212">
        <v>3000</v>
      </c>
      <c r="R3" s="212">
        <v>1000</v>
      </c>
      <c r="S3" s="212">
        <f>$AG$33+$AG$38</f>
        <v>9900</v>
      </c>
      <c r="T3" s="212">
        <v>800</v>
      </c>
      <c r="U3" s="212">
        <v>1800</v>
      </c>
      <c r="V3" s="160"/>
      <c r="X3" s="254"/>
      <c r="Y3" s="254"/>
      <c r="AA3" s="214" t="s">
        <v>213</v>
      </c>
      <c r="AB3" s="213"/>
      <c r="AC3" s="213"/>
      <c r="AD3" s="213"/>
      <c r="AE3" s="213"/>
      <c r="AF3" s="213"/>
    </row>
    <row r="4" spans="1:32" ht="15" thickBot="1" x14ac:dyDescent="0.35">
      <c r="A4" t="s">
        <v>193</v>
      </c>
      <c r="C4" t="s">
        <v>161</v>
      </c>
      <c r="D4">
        <v>40</v>
      </c>
      <c r="E4">
        <v>150</v>
      </c>
      <c r="F4" t="s">
        <v>206</v>
      </c>
      <c r="G4" s="270">
        <v>1650</v>
      </c>
      <c r="P4">
        <v>60</v>
      </c>
      <c r="Q4" s="212">
        <v>3000</v>
      </c>
      <c r="R4" s="212">
        <v>1000</v>
      </c>
      <c r="S4" s="212">
        <f t="shared" ref="S4:S10" si="0">$AG$33+$AG$38</f>
        <v>9900</v>
      </c>
      <c r="T4" s="212">
        <v>800</v>
      </c>
      <c r="U4" s="212">
        <v>1800</v>
      </c>
      <c r="V4" s="160"/>
      <c r="X4" s="218" t="s">
        <v>227</v>
      </c>
      <c r="Y4" s="219" t="s">
        <v>211</v>
      </c>
      <c r="AA4" s="213" t="s">
        <v>257</v>
      </c>
      <c r="AB4" s="213" t="s">
        <v>351</v>
      </c>
      <c r="AC4" s="213"/>
      <c r="AD4" s="213"/>
      <c r="AE4" s="213"/>
      <c r="AF4" s="213"/>
    </row>
    <row r="5" spans="1:32" ht="15" thickTop="1" x14ac:dyDescent="0.3">
      <c r="A5" t="s">
        <v>237</v>
      </c>
      <c r="B5" s="160" t="s">
        <v>1</v>
      </c>
      <c r="C5" t="s">
        <v>161</v>
      </c>
      <c r="D5">
        <v>40</v>
      </c>
      <c r="E5">
        <v>200</v>
      </c>
      <c r="F5" t="s">
        <v>206</v>
      </c>
      <c r="G5" s="270">
        <v>1800</v>
      </c>
      <c r="P5">
        <v>70</v>
      </c>
      <c r="Q5" s="212">
        <v>3000</v>
      </c>
      <c r="R5" s="212">
        <v>1000</v>
      </c>
      <c r="S5" s="212">
        <f t="shared" si="0"/>
        <v>9900</v>
      </c>
      <c r="T5" s="212">
        <v>800</v>
      </c>
      <c r="U5" s="212">
        <v>1800</v>
      </c>
      <c r="V5" s="160"/>
      <c r="X5" s="255" t="s">
        <v>228</v>
      </c>
      <c r="Y5" s="221">
        <v>3000</v>
      </c>
      <c r="AA5" s="213">
        <v>3</v>
      </c>
      <c r="AB5" s="212">
        <v>7000</v>
      </c>
      <c r="AC5" s="213"/>
      <c r="AD5" s="213"/>
      <c r="AE5" s="213"/>
      <c r="AF5" s="213"/>
    </row>
    <row r="6" spans="1:32" x14ac:dyDescent="0.3">
      <c r="B6" s="160"/>
      <c r="D6">
        <v>40</v>
      </c>
      <c r="E6">
        <v>250</v>
      </c>
      <c r="F6" t="s">
        <v>206</v>
      </c>
      <c r="G6" s="270">
        <v>1800</v>
      </c>
      <c r="P6">
        <v>80</v>
      </c>
      <c r="Q6" s="212">
        <v>3000</v>
      </c>
      <c r="R6" s="212">
        <v>1000</v>
      </c>
      <c r="S6" s="212">
        <f t="shared" si="0"/>
        <v>9900</v>
      </c>
      <c r="T6" s="212">
        <v>800</v>
      </c>
      <c r="U6" s="212">
        <v>1800</v>
      </c>
      <c r="V6" s="160"/>
      <c r="X6" s="255" t="s">
        <v>233</v>
      </c>
      <c r="Y6" s="221">
        <v>4500</v>
      </c>
      <c r="AA6" s="213">
        <v>5</v>
      </c>
      <c r="AB6" s="212">
        <v>7000</v>
      </c>
      <c r="AC6" s="213"/>
      <c r="AD6" s="213"/>
      <c r="AE6" s="213"/>
      <c r="AF6" s="213"/>
    </row>
    <row r="7" spans="1:32" ht="18" x14ac:dyDescent="0.35">
      <c r="B7" s="160"/>
      <c r="D7">
        <v>40</v>
      </c>
      <c r="E7">
        <v>300</v>
      </c>
      <c r="F7" t="s">
        <v>206</v>
      </c>
      <c r="G7" s="270">
        <v>1800</v>
      </c>
      <c r="I7" s="142" t="s">
        <v>215</v>
      </c>
      <c r="K7" s="145"/>
      <c r="L7" s="145"/>
      <c r="M7" s="145"/>
      <c r="N7" s="145"/>
      <c r="O7" s="145"/>
      <c r="P7">
        <v>100</v>
      </c>
      <c r="Q7" s="212">
        <v>3000</v>
      </c>
      <c r="R7" s="212">
        <v>1000</v>
      </c>
      <c r="S7" s="212">
        <f t="shared" si="0"/>
        <v>9900</v>
      </c>
      <c r="T7" s="212">
        <v>800</v>
      </c>
      <c r="U7" s="212">
        <v>1800</v>
      </c>
      <c r="V7" s="160"/>
      <c r="X7" s="255" t="s">
        <v>355</v>
      </c>
      <c r="Y7" s="221">
        <v>5500</v>
      </c>
      <c r="AA7" s="213">
        <v>7.5</v>
      </c>
      <c r="AB7" s="212">
        <v>9800</v>
      </c>
      <c r="AC7" s="213"/>
      <c r="AD7" s="213"/>
      <c r="AE7" s="213"/>
      <c r="AF7" s="213"/>
    </row>
    <row r="8" spans="1:32" ht="22.5" customHeight="1" thickBot="1" x14ac:dyDescent="0.35">
      <c r="A8" t="s">
        <v>188</v>
      </c>
      <c r="B8" s="160"/>
      <c r="C8" t="s">
        <v>161</v>
      </c>
      <c r="D8">
        <v>50</v>
      </c>
      <c r="E8">
        <v>15</v>
      </c>
      <c r="F8" t="s">
        <v>204</v>
      </c>
      <c r="G8" s="270">
        <v>750</v>
      </c>
      <c r="I8" s="335" t="s">
        <v>216</v>
      </c>
      <c r="J8" s="335"/>
      <c r="K8" s="335"/>
      <c r="L8" s="335"/>
      <c r="M8" s="335"/>
      <c r="N8" s="335"/>
      <c r="O8" s="335"/>
      <c r="P8">
        <v>125</v>
      </c>
      <c r="Q8" s="212">
        <v>3000</v>
      </c>
      <c r="R8" s="212">
        <v>1000</v>
      </c>
      <c r="S8" s="212">
        <f t="shared" si="0"/>
        <v>9900</v>
      </c>
      <c r="T8" s="212">
        <v>800</v>
      </c>
      <c r="U8" s="212">
        <v>1800</v>
      </c>
      <c r="V8" s="160"/>
      <c r="X8" s="256" t="s">
        <v>229</v>
      </c>
      <c r="Y8" s="225">
        <v>7000</v>
      </c>
      <c r="AA8" s="213">
        <v>10</v>
      </c>
      <c r="AB8" s="212">
        <v>9800</v>
      </c>
      <c r="AC8" s="213"/>
      <c r="AD8" s="213"/>
      <c r="AE8" s="213"/>
      <c r="AF8" s="213"/>
    </row>
    <row r="9" spans="1:32" ht="15" thickBot="1" x14ac:dyDescent="0.35">
      <c r="A9" t="s">
        <v>189</v>
      </c>
      <c r="B9" s="160"/>
      <c r="C9" t="s">
        <v>161</v>
      </c>
      <c r="D9">
        <v>50</v>
      </c>
      <c r="E9">
        <v>150</v>
      </c>
      <c r="F9" t="s">
        <v>206</v>
      </c>
      <c r="G9" s="270">
        <v>1650</v>
      </c>
      <c r="I9" s="167"/>
      <c r="J9" s="167"/>
      <c r="K9" s="167"/>
      <c r="L9" s="167"/>
      <c r="M9" s="167"/>
      <c r="N9" s="167"/>
      <c r="O9" s="167"/>
      <c r="P9">
        <v>150</v>
      </c>
      <c r="Q9" s="212">
        <v>4500</v>
      </c>
      <c r="R9" s="212">
        <v>1300</v>
      </c>
      <c r="S9" s="212">
        <f t="shared" si="0"/>
        <v>9900</v>
      </c>
      <c r="T9" s="212">
        <v>800</v>
      </c>
      <c r="U9" s="212">
        <v>1800</v>
      </c>
      <c r="V9" s="160"/>
      <c r="X9" s="213" t="s">
        <v>356</v>
      </c>
      <c r="Y9" s="213"/>
      <c r="AA9" s="213">
        <v>15</v>
      </c>
      <c r="AB9" s="212">
        <v>9800</v>
      </c>
      <c r="AC9" s="213"/>
      <c r="AD9" s="213"/>
      <c r="AE9" s="213"/>
      <c r="AF9" s="213"/>
    </row>
    <row r="10" spans="1:32" ht="15" thickBot="1" x14ac:dyDescent="0.35">
      <c r="B10" s="160"/>
      <c r="D10">
        <v>50</v>
      </c>
      <c r="E10">
        <v>200</v>
      </c>
      <c r="F10" t="s">
        <v>206</v>
      </c>
      <c r="G10" s="270">
        <v>1800</v>
      </c>
      <c r="I10" s="146"/>
      <c r="J10" s="146"/>
      <c r="K10" s="147" t="s">
        <v>167</v>
      </c>
      <c r="L10" s="336" t="s">
        <v>217</v>
      </c>
      <c r="M10" s="336"/>
      <c r="N10" s="148" t="s">
        <v>211</v>
      </c>
      <c r="O10" s="146"/>
      <c r="P10">
        <v>175</v>
      </c>
      <c r="Q10" s="212">
        <v>4500</v>
      </c>
      <c r="R10" s="212">
        <v>1300</v>
      </c>
      <c r="S10" s="212">
        <f t="shared" si="0"/>
        <v>9900</v>
      </c>
      <c r="T10" s="212">
        <v>800</v>
      </c>
      <c r="U10" s="212">
        <v>1800</v>
      </c>
      <c r="V10" s="160"/>
      <c r="AA10" s="213">
        <v>20</v>
      </c>
      <c r="AB10" s="212">
        <v>9800</v>
      </c>
      <c r="AC10" s="213"/>
      <c r="AD10" s="213"/>
      <c r="AE10" s="213"/>
      <c r="AF10" s="213"/>
    </row>
    <row r="11" spans="1:32" ht="15.6" thickTop="1" thickBot="1" x14ac:dyDescent="0.35">
      <c r="B11" s="160"/>
      <c r="D11">
        <v>50</v>
      </c>
      <c r="E11">
        <v>250</v>
      </c>
      <c r="F11" t="s">
        <v>206</v>
      </c>
      <c r="G11" s="270">
        <v>1800</v>
      </c>
      <c r="K11" s="149" t="s">
        <v>218</v>
      </c>
      <c r="L11" s="337" t="s">
        <v>219</v>
      </c>
      <c r="M11" s="337"/>
      <c r="N11" s="150">
        <v>6603</v>
      </c>
      <c r="O11" s="143"/>
      <c r="P11">
        <v>200</v>
      </c>
      <c r="Q11" s="212">
        <v>4500</v>
      </c>
      <c r="R11" s="212">
        <v>1300</v>
      </c>
      <c r="S11" s="212">
        <f>$AG$39+$AG$33</f>
        <v>12100</v>
      </c>
      <c r="T11" s="212">
        <v>1200</v>
      </c>
      <c r="U11" s="212">
        <v>2800</v>
      </c>
      <c r="V11" s="160"/>
      <c r="X11" s="213" t="s">
        <v>193</v>
      </c>
      <c r="Y11" s="213"/>
      <c r="AA11" s="213">
        <v>25</v>
      </c>
      <c r="AB11" s="212">
        <v>11200</v>
      </c>
      <c r="AC11" s="213"/>
      <c r="AD11" s="213"/>
      <c r="AE11" s="213"/>
      <c r="AF11" s="213"/>
    </row>
    <row r="12" spans="1:32" ht="15" thickBot="1" x14ac:dyDescent="0.35">
      <c r="B12" s="160"/>
      <c r="D12">
        <v>50</v>
      </c>
      <c r="E12">
        <v>300</v>
      </c>
      <c r="F12" t="s">
        <v>206</v>
      </c>
      <c r="G12" s="270">
        <v>1800</v>
      </c>
      <c r="K12" s="151" t="s">
        <v>220</v>
      </c>
      <c r="L12" s="338" t="s">
        <v>221</v>
      </c>
      <c r="M12" s="338"/>
      <c r="N12" s="152">
        <v>5703</v>
      </c>
      <c r="O12" s="143"/>
      <c r="P12">
        <v>250</v>
      </c>
      <c r="Q12" s="212">
        <v>5500</v>
      </c>
      <c r="R12" s="212">
        <v>1500</v>
      </c>
      <c r="S12" s="212">
        <f t="shared" ref="S12:S20" si="1">$AG$39+$AG$33</f>
        <v>12100</v>
      </c>
      <c r="T12" s="212">
        <v>1200</v>
      </c>
      <c r="U12" s="212">
        <v>2800</v>
      </c>
      <c r="V12" s="160"/>
      <c r="X12" s="218" t="s">
        <v>227</v>
      </c>
      <c r="Y12" s="219" t="s">
        <v>211</v>
      </c>
      <c r="AA12" s="213">
        <v>30</v>
      </c>
      <c r="AB12" s="212">
        <v>19300</v>
      </c>
      <c r="AC12" s="213"/>
      <c r="AD12" s="213"/>
      <c r="AE12" s="213"/>
      <c r="AF12" s="213"/>
    </row>
    <row r="13" spans="1:32" ht="15" thickTop="1" x14ac:dyDescent="0.3">
      <c r="A13" t="s">
        <v>190</v>
      </c>
      <c r="C13" t="s">
        <v>161</v>
      </c>
      <c r="D13">
        <v>60</v>
      </c>
      <c r="E13">
        <v>15</v>
      </c>
      <c r="F13" t="s">
        <v>204</v>
      </c>
      <c r="G13" s="270">
        <v>750</v>
      </c>
      <c r="P13">
        <v>300</v>
      </c>
      <c r="Q13" s="212">
        <v>5500</v>
      </c>
      <c r="R13" s="212">
        <v>2200</v>
      </c>
      <c r="S13" s="212">
        <f t="shared" si="1"/>
        <v>12100</v>
      </c>
      <c r="T13" s="212">
        <v>1200</v>
      </c>
      <c r="U13" s="212">
        <v>2800</v>
      </c>
      <c r="V13" s="160"/>
      <c r="X13" s="220" t="s">
        <v>228</v>
      </c>
      <c r="Y13" s="221">
        <v>1000</v>
      </c>
      <c r="AA13" s="213">
        <v>40</v>
      </c>
      <c r="AB13" s="212">
        <v>2300</v>
      </c>
      <c r="AC13" s="213"/>
      <c r="AD13" s="213"/>
      <c r="AE13" s="213"/>
      <c r="AF13" s="213"/>
    </row>
    <row r="14" spans="1:32" ht="18" x14ac:dyDescent="0.35">
      <c r="A14" t="s">
        <v>44</v>
      </c>
      <c r="B14" s="160" t="s">
        <v>1</v>
      </c>
      <c r="C14" t="s">
        <v>161</v>
      </c>
      <c r="D14">
        <v>60</v>
      </c>
      <c r="E14">
        <v>150</v>
      </c>
      <c r="F14" t="s">
        <v>206</v>
      </c>
      <c r="G14" s="270">
        <v>1650</v>
      </c>
      <c r="I14" s="153" t="s">
        <v>222</v>
      </c>
      <c r="L14" s="154"/>
      <c r="M14" s="154"/>
      <c r="P14">
        <v>350</v>
      </c>
      <c r="Q14" s="212">
        <v>5500</v>
      </c>
      <c r="R14" s="212">
        <v>2200</v>
      </c>
      <c r="S14" s="212">
        <f t="shared" si="1"/>
        <v>12100</v>
      </c>
      <c r="T14" s="212">
        <v>1200</v>
      </c>
      <c r="U14" s="212">
        <v>2800</v>
      </c>
      <c r="V14" s="160"/>
      <c r="X14" s="223" t="s">
        <v>233</v>
      </c>
      <c r="Y14" s="221">
        <v>1300</v>
      </c>
      <c r="AB14" s="141"/>
    </row>
    <row r="15" spans="1:32" ht="15" thickBot="1" x14ac:dyDescent="0.35">
      <c r="B15" s="160"/>
      <c r="D15">
        <v>60</v>
      </c>
      <c r="E15">
        <v>200</v>
      </c>
      <c r="F15" t="s">
        <v>206</v>
      </c>
      <c r="G15" s="270">
        <v>1800</v>
      </c>
      <c r="J15" t="s">
        <v>223</v>
      </c>
      <c r="L15" s="154"/>
      <c r="M15" s="154"/>
      <c r="P15">
        <v>400</v>
      </c>
      <c r="Q15" s="212">
        <v>5500</v>
      </c>
      <c r="R15" s="212">
        <v>2200</v>
      </c>
      <c r="S15" s="212">
        <f t="shared" si="1"/>
        <v>12100</v>
      </c>
      <c r="T15" s="212">
        <v>1200</v>
      </c>
      <c r="U15" s="212">
        <v>2800</v>
      </c>
      <c r="V15" s="160"/>
      <c r="X15" s="223">
        <v>250</v>
      </c>
      <c r="Y15" s="221">
        <v>1500</v>
      </c>
      <c r="AB15" s="141"/>
    </row>
    <row r="16" spans="1:32" ht="21" thickBot="1" x14ac:dyDescent="0.5">
      <c r="B16" s="160"/>
      <c r="D16">
        <v>60</v>
      </c>
      <c r="E16">
        <v>250</v>
      </c>
      <c r="F16" t="s">
        <v>206</v>
      </c>
      <c r="G16" s="270">
        <v>1800</v>
      </c>
      <c r="L16" s="155" t="s">
        <v>167</v>
      </c>
      <c r="M16" s="156" t="s">
        <v>211</v>
      </c>
      <c r="P16">
        <v>500</v>
      </c>
      <c r="Q16" s="212">
        <v>5500</v>
      </c>
      <c r="R16" s="212">
        <v>2200</v>
      </c>
      <c r="S16" s="212">
        <f t="shared" si="1"/>
        <v>12100</v>
      </c>
      <c r="T16" s="212">
        <v>2200</v>
      </c>
      <c r="U16" s="212">
        <v>4000</v>
      </c>
      <c r="V16" s="160"/>
      <c r="X16" s="223" t="s">
        <v>234</v>
      </c>
      <c r="Y16" s="221">
        <v>2200</v>
      </c>
      <c r="AA16" s="211" t="s">
        <v>214</v>
      </c>
      <c r="AB16" s="212"/>
      <c r="AC16" s="213"/>
      <c r="AD16" s="213"/>
      <c r="AE16" s="213"/>
      <c r="AF16" s="213"/>
    </row>
    <row r="17" spans="1:34" ht="30" thickTop="1" thickBot="1" x14ac:dyDescent="0.35">
      <c r="B17" s="160"/>
      <c r="D17">
        <v>60</v>
      </c>
      <c r="E17">
        <v>300</v>
      </c>
      <c r="F17" t="s">
        <v>206</v>
      </c>
      <c r="G17" s="270">
        <v>1800</v>
      </c>
      <c r="K17" s="145"/>
      <c r="L17" s="157" t="s">
        <v>224</v>
      </c>
      <c r="M17" s="158">
        <v>280</v>
      </c>
      <c r="N17" s="145"/>
      <c r="P17">
        <v>600</v>
      </c>
      <c r="Q17" s="212">
        <v>5500</v>
      </c>
      <c r="R17" s="212">
        <v>2200</v>
      </c>
      <c r="S17" s="212">
        <f t="shared" si="1"/>
        <v>12100</v>
      </c>
      <c r="T17" s="212">
        <v>2200</v>
      </c>
      <c r="U17" s="212">
        <v>4000</v>
      </c>
      <c r="V17" s="160"/>
      <c r="X17" s="223">
        <v>700</v>
      </c>
      <c r="Y17" s="221">
        <v>2600</v>
      </c>
      <c r="AA17" s="214" t="s">
        <v>213</v>
      </c>
      <c r="AB17" s="212"/>
      <c r="AC17" s="213"/>
      <c r="AD17" s="213"/>
      <c r="AE17" s="213"/>
      <c r="AF17" s="213"/>
    </row>
    <row r="18" spans="1:34" ht="15" thickBot="1" x14ac:dyDescent="0.35">
      <c r="A18" t="s">
        <v>191</v>
      </c>
      <c r="B18" s="160">
        <v>200</v>
      </c>
      <c r="C18" t="s">
        <v>236</v>
      </c>
      <c r="D18">
        <v>70</v>
      </c>
      <c r="E18">
        <v>15</v>
      </c>
      <c r="F18" t="s">
        <v>204</v>
      </c>
      <c r="G18" s="270">
        <v>750</v>
      </c>
      <c r="P18">
        <v>700</v>
      </c>
      <c r="Q18" s="212">
        <v>7000</v>
      </c>
      <c r="R18" s="212">
        <v>2600</v>
      </c>
      <c r="S18" s="212">
        <f t="shared" si="1"/>
        <v>12100</v>
      </c>
      <c r="T18" s="212">
        <v>2200</v>
      </c>
      <c r="U18" s="212">
        <v>4000</v>
      </c>
      <c r="V18" s="160"/>
      <c r="X18" s="224" t="s">
        <v>235</v>
      </c>
      <c r="Y18" s="225">
        <v>2800</v>
      </c>
      <c r="AA18" s="213"/>
      <c r="AB18" s="212"/>
      <c r="AC18" s="213"/>
      <c r="AD18" s="213"/>
      <c r="AE18" s="213"/>
      <c r="AF18" s="213"/>
    </row>
    <row r="19" spans="1:34" ht="18" x14ac:dyDescent="0.35">
      <c r="A19" t="s">
        <v>192</v>
      </c>
      <c r="B19" s="160"/>
      <c r="C19" t="s">
        <v>240</v>
      </c>
      <c r="D19">
        <v>70</v>
      </c>
      <c r="E19">
        <v>150</v>
      </c>
      <c r="F19" t="s">
        <v>206</v>
      </c>
      <c r="G19" s="270">
        <v>1650</v>
      </c>
      <c r="J19" s="142"/>
      <c r="P19">
        <v>800</v>
      </c>
      <c r="Q19" s="212">
        <v>7000</v>
      </c>
      <c r="R19" s="212">
        <v>2800</v>
      </c>
      <c r="S19" s="212">
        <f t="shared" si="1"/>
        <v>12100</v>
      </c>
      <c r="T19" s="212">
        <v>2200</v>
      </c>
      <c r="U19" s="212">
        <v>4000</v>
      </c>
      <c r="V19" s="160"/>
      <c r="AA19" s="213" t="s">
        <v>352</v>
      </c>
      <c r="AB19" s="212">
        <v>11800</v>
      </c>
      <c r="AC19" s="213"/>
      <c r="AD19" s="213"/>
      <c r="AE19" s="213"/>
      <c r="AF19" s="213"/>
    </row>
    <row r="20" spans="1:34" ht="21.75" customHeight="1" x14ac:dyDescent="0.3">
      <c r="A20" t="s">
        <v>238</v>
      </c>
      <c r="B20" s="160" t="s">
        <v>210</v>
      </c>
      <c r="C20" t="s">
        <v>239</v>
      </c>
      <c r="D20">
        <v>70</v>
      </c>
      <c r="E20">
        <v>200</v>
      </c>
      <c r="F20" t="s">
        <v>206</v>
      </c>
      <c r="G20" s="270">
        <v>1800</v>
      </c>
      <c r="L20" s="203"/>
      <c r="O20" s="162"/>
      <c r="P20">
        <v>900</v>
      </c>
      <c r="Q20" s="212">
        <v>7000</v>
      </c>
      <c r="R20" s="212">
        <v>2800</v>
      </c>
      <c r="S20" s="212">
        <f t="shared" si="1"/>
        <v>12100</v>
      </c>
      <c r="T20" s="212">
        <v>2200</v>
      </c>
      <c r="U20" s="212">
        <v>4000</v>
      </c>
      <c r="V20" s="160"/>
    </row>
    <row r="21" spans="1:34" ht="14.25" customHeight="1" x14ac:dyDescent="0.3">
      <c r="A21" t="s">
        <v>185</v>
      </c>
      <c r="C21" t="s">
        <v>161</v>
      </c>
      <c r="D21">
        <v>70</v>
      </c>
      <c r="E21">
        <v>250</v>
      </c>
      <c r="F21" t="s">
        <v>206</v>
      </c>
      <c r="G21" s="270">
        <v>1800</v>
      </c>
      <c r="K21" s="144"/>
      <c r="L21" s="144"/>
      <c r="M21" s="144"/>
      <c r="N21" s="144"/>
      <c r="O21" s="162"/>
      <c r="P21" s="162"/>
      <c r="Q21" s="162"/>
    </row>
    <row r="22" spans="1:34" ht="18" x14ac:dyDescent="0.35">
      <c r="A22" t="s">
        <v>186</v>
      </c>
      <c r="B22" s="160">
        <v>8600</v>
      </c>
      <c r="D22">
        <v>70</v>
      </c>
      <c r="E22">
        <v>300</v>
      </c>
      <c r="F22" t="s">
        <v>206</v>
      </c>
      <c r="G22" s="270">
        <v>1800</v>
      </c>
      <c r="I22" s="217" t="s">
        <v>425</v>
      </c>
      <c r="J22" s="213"/>
      <c r="K22" s="213"/>
      <c r="L22" s="213"/>
      <c r="M22" s="213"/>
      <c r="N22" s="213"/>
      <c r="O22" s="213"/>
      <c r="P22" s="213"/>
      <c r="Q22" s="162"/>
      <c r="AA22" s="211" t="s">
        <v>173</v>
      </c>
      <c r="AB22" s="213"/>
      <c r="AC22" s="213"/>
      <c r="AD22" s="213"/>
      <c r="AE22" s="213"/>
      <c r="AF22" s="213"/>
      <c r="AG22" s="213"/>
      <c r="AH22" s="213"/>
    </row>
    <row r="23" spans="1:34" x14ac:dyDescent="0.3">
      <c r="A23" t="s">
        <v>173</v>
      </c>
      <c r="C23" t="s">
        <v>161</v>
      </c>
      <c r="D23">
        <v>80</v>
      </c>
      <c r="E23">
        <v>15</v>
      </c>
      <c r="F23" t="s">
        <v>204</v>
      </c>
      <c r="G23" s="270">
        <v>750</v>
      </c>
      <c r="I23" s="333" t="s">
        <v>444</v>
      </c>
      <c r="J23" s="333"/>
      <c r="K23" s="333"/>
      <c r="L23" s="333"/>
      <c r="M23" s="333"/>
      <c r="N23" s="333"/>
      <c r="O23" s="333"/>
      <c r="P23" s="333"/>
      <c r="X23" s="202"/>
      <c r="AA23" s="339" t="s">
        <v>225</v>
      </c>
      <c r="AB23" s="339"/>
      <c r="AC23" s="339"/>
      <c r="AD23" s="339"/>
      <c r="AE23" s="339"/>
      <c r="AF23" s="339"/>
      <c r="AG23" s="339"/>
      <c r="AH23" s="339"/>
    </row>
    <row r="24" spans="1:34" x14ac:dyDescent="0.3">
      <c r="A24" t="s">
        <v>174</v>
      </c>
      <c r="B24" s="141" t="s">
        <v>1</v>
      </c>
      <c r="C24" t="s">
        <v>161</v>
      </c>
      <c r="D24">
        <v>80</v>
      </c>
      <c r="E24">
        <v>150</v>
      </c>
      <c r="F24" t="s">
        <v>206</v>
      </c>
      <c r="G24" s="270">
        <v>1650</v>
      </c>
      <c r="I24" s="333"/>
      <c r="J24" s="333"/>
      <c r="K24" s="333"/>
      <c r="L24" s="333"/>
      <c r="M24" s="333"/>
      <c r="N24" s="333"/>
      <c r="O24" s="333"/>
      <c r="P24" s="333"/>
      <c r="X24" s="154"/>
      <c r="Y24" s="143"/>
      <c r="Z24" s="143"/>
      <c r="AA24" s="339"/>
      <c r="AB24" s="339"/>
      <c r="AC24" s="339"/>
      <c r="AD24" s="339"/>
      <c r="AE24" s="339"/>
      <c r="AF24" s="339"/>
      <c r="AG24" s="339"/>
      <c r="AH24" s="339"/>
    </row>
    <row r="25" spans="1:34" x14ac:dyDescent="0.3">
      <c r="A25" t="s">
        <v>175</v>
      </c>
      <c r="B25" s="141">
        <v>1600</v>
      </c>
      <c r="D25">
        <v>80</v>
      </c>
      <c r="E25">
        <v>200</v>
      </c>
      <c r="F25" t="s">
        <v>206</v>
      </c>
      <c r="G25" s="270">
        <v>1800</v>
      </c>
      <c r="I25" s="333"/>
      <c r="J25" s="333"/>
      <c r="K25" s="333"/>
      <c r="L25" s="333"/>
      <c r="M25" s="333"/>
      <c r="N25" s="333"/>
      <c r="O25" s="333"/>
      <c r="P25" s="333"/>
      <c r="X25" s="154"/>
      <c r="Y25" s="143"/>
      <c r="Z25" s="143"/>
      <c r="AA25" s="213"/>
      <c r="AB25" s="213"/>
      <c r="AC25" s="213"/>
      <c r="AD25" s="213"/>
      <c r="AE25" s="213"/>
      <c r="AF25" s="213"/>
      <c r="AG25" s="213"/>
      <c r="AH25" s="213"/>
    </row>
    <row r="26" spans="1:34" x14ac:dyDescent="0.3">
      <c r="A26" t="s">
        <v>176</v>
      </c>
      <c r="C26" t="s">
        <v>161</v>
      </c>
      <c r="D26">
        <v>80</v>
      </c>
      <c r="E26">
        <v>250</v>
      </c>
      <c r="F26" t="s">
        <v>206</v>
      </c>
      <c r="G26" s="270">
        <v>1800</v>
      </c>
      <c r="I26" s="213" t="s">
        <v>1</v>
      </c>
      <c r="J26" s="213"/>
      <c r="K26" s="213"/>
      <c r="L26" s="213"/>
      <c r="M26" s="213"/>
      <c r="N26" s="213"/>
      <c r="O26" s="213"/>
      <c r="P26" s="213"/>
      <c r="AA26" s="213" t="s">
        <v>353</v>
      </c>
      <c r="AB26" s="215">
        <v>680</v>
      </c>
      <c r="AC26" s="213"/>
      <c r="AD26" s="213"/>
      <c r="AE26" s="213"/>
      <c r="AF26" s="213"/>
      <c r="AG26" s="213"/>
      <c r="AH26" s="213"/>
    </row>
    <row r="27" spans="1:34" x14ac:dyDescent="0.3">
      <c r="A27" t="s">
        <v>177</v>
      </c>
      <c r="B27" s="141">
        <v>2300</v>
      </c>
      <c r="D27">
        <v>80</v>
      </c>
      <c r="E27">
        <v>300</v>
      </c>
      <c r="F27" t="s">
        <v>206</v>
      </c>
      <c r="G27" s="270">
        <v>1800</v>
      </c>
      <c r="I27" s="213"/>
      <c r="J27" s="213"/>
      <c r="K27" s="213"/>
      <c r="L27" s="213"/>
      <c r="M27" s="213"/>
      <c r="N27" s="213"/>
      <c r="O27" s="213"/>
      <c r="P27" s="213"/>
    </row>
    <row r="28" spans="1:34" ht="28.5" customHeight="1" x14ac:dyDescent="0.3">
      <c r="A28" t="s">
        <v>178</v>
      </c>
      <c r="B28" s="141">
        <v>11800</v>
      </c>
      <c r="D28">
        <v>100</v>
      </c>
      <c r="E28">
        <v>15</v>
      </c>
      <c r="F28" t="s">
        <v>204</v>
      </c>
      <c r="G28" s="270">
        <v>750</v>
      </c>
      <c r="I28" s="213" t="s">
        <v>439</v>
      </c>
      <c r="J28" s="213"/>
      <c r="K28" s="213"/>
      <c r="L28" s="213"/>
      <c r="M28" s="213"/>
      <c r="N28" s="213"/>
      <c r="O28" s="213"/>
      <c r="P28" s="213"/>
      <c r="AA28" s="227" t="s">
        <v>167</v>
      </c>
      <c r="AB28" s="228" t="s">
        <v>211</v>
      </c>
    </row>
    <row r="29" spans="1:34" x14ac:dyDescent="0.3">
      <c r="A29" t="s">
        <v>179</v>
      </c>
      <c r="C29" t="s">
        <v>161</v>
      </c>
      <c r="D29">
        <v>100</v>
      </c>
      <c r="E29">
        <v>150</v>
      </c>
      <c r="F29" t="s">
        <v>206</v>
      </c>
      <c r="G29" s="270">
        <v>1650</v>
      </c>
      <c r="I29" s="213" t="s">
        <v>429</v>
      </c>
      <c r="J29" s="213"/>
      <c r="K29" s="213"/>
      <c r="L29" s="213"/>
      <c r="M29" s="213"/>
      <c r="N29" s="213"/>
      <c r="O29" s="213"/>
      <c r="P29" s="213" t="s">
        <v>1</v>
      </c>
      <c r="Q29" s="230" t="s">
        <v>186</v>
      </c>
      <c r="R29" s="213"/>
      <c r="S29" s="213"/>
      <c r="T29" s="213"/>
      <c r="U29" s="213"/>
      <c r="AA29" s="229" t="s">
        <v>364</v>
      </c>
      <c r="AB29" s="229">
        <v>1500</v>
      </c>
    </row>
    <row r="30" spans="1:34" x14ac:dyDescent="0.3">
      <c r="A30" t="s">
        <v>180</v>
      </c>
      <c r="C30" t="s">
        <v>241</v>
      </c>
      <c r="D30">
        <v>100</v>
      </c>
      <c r="E30">
        <v>200</v>
      </c>
      <c r="F30" t="s">
        <v>206</v>
      </c>
      <c r="G30" s="270">
        <v>1800</v>
      </c>
      <c r="I30" s="213"/>
      <c r="J30" s="213"/>
      <c r="K30" s="213"/>
      <c r="L30" s="213"/>
      <c r="M30" s="213"/>
      <c r="N30" s="213"/>
      <c r="O30" s="213"/>
      <c r="P30" s="213"/>
      <c r="Q30" s="213"/>
      <c r="R30" s="213"/>
      <c r="S30" s="213"/>
      <c r="T30" s="213"/>
      <c r="U30" s="213"/>
    </row>
    <row r="31" spans="1:34" x14ac:dyDescent="0.3">
      <c r="A31" t="s">
        <v>181</v>
      </c>
      <c r="B31" s="141">
        <v>2800</v>
      </c>
      <c r="D31">
        <v>100</v>
      </c>
      <c r="E31">
        <v>250</v>
      </c>
      <c r="F31" t="s">
        <v>206</v>
      </c>
      <c r="G31" s="270">
        <v>1800</v>
      </c>
      <c r="I31" s="213"/>
      <c r="J31" s="213"/>
      <c r="K31" s="213"/>
      <c r="L31" s="213"/>
      <c r="M31" s="213"/>
      <c r="N31" s="213"/>
      <c r="O31" s="213"/>
      <c r="P31" s="213"/>
      <c r="Q31" s="213" t="s">
        <v>167</v>
      </c>
      <c r="R31" s="213"/>
      <c r="S31" s="213"/>
      <c r="T31" s="213"/>
      <c r="U31" s="213"/>
      <c r="AA31" s="38" t="s">
        <v>242</v>
      </c>
      <c r="AB31" s="38"/>
      <c r="AC31" s="38"/>
      <c r="AD31" s="38"/>
      <c r="AE31" s="38"/>
      <c r="AF31" s="38"/>
      <c r="AG31" s="38"/>
    </row>
    <row r="32" spans="1:34" ht="18" x14ac:dyDescent="0.35">
      <c r="A32" t="s">
        <v>183</v>
      </c>
      <c r="B32" s="160">
        <v>3400</v>
      </c>
      <c r="C32" t="s">
        <v>243</v>
      </c>
      <c r="D32">
        <v>100</v>
      </c>
      <c r="E32">
        <v>300</v>
      </c>
      <c r="F32" t="s">
        <v>206</v>
      </c>
      <c r="G32" s="270">
        <v>1800</v>
      </c>
      <c r="I32" s="213"/>
      <c r="J32" s="213"/>
      <c r="K32" s="213"/>
      <c r="L32" s="213"/>
      <c r="M32" s="213"/>
      <c r="N32" s="213"/>
      <c r="O32" s="213"/>
      <c r="P32" s="213"/>
      <c r="Q32" s="213" t="s">
        <v>445</v>
      </c>
      <c r="R32" s="213"/>
      <c r="S32" s="215">
        <v>8600</v>
      </c>
      <c r="T32" s="213"/>
      <c r="U32" s="213"/>
      <c r="AA32" s="211" t="s">
        <v>366</v>
      </c>
      <c r="AB32" s="215"/>
      <c r="AC32" s="213"/>
      <c r="AD32" s="213"/>
      <c r="AE32" s="213"/>
      <c r="AF32" s="213"/>
      <c r="AG32" s="213"/>
    </row>
    <row r="33" spans="4:33" x14ac:dyDescent="0.3">
      <c r="D33">
        <v>125</v>
      </c>
      <c r="E33">
        <v>15</v>
      </c>
      <c r="F33" t="s">
        <v>205</v>
      </c>
      <c r="G33" s="270">
        <v>750</v>
      </c>
      <c r="I33" s="213"/>
      <c r="J33" s="213"/>
      <c r="K33" s="213"/>
      <c r="L33" s="213"/>
      <c r="M33" s="213"/>
      <c r="N33" s="213"/>
      <c r="O33" s="213"/>
      <c r="P33" s="213"/>
      <c r="AA33" s="213" t="s">
        <v>367</v>
      </c>
      <c r="AB33" s="213"/>
      <c r="AC33" s="213"/>
      <c r="AD33" s="213"/>
      <c r="AE33" s="213"/>
      <c r="AF33" s="213" t="s">
        <v>1</v>
      </c>
      <c r="AG33" s="212">
        <v>900</v>
      </c>
    </row>
    <row r="34" spans="4:33" x14ac:dyDescent="0.3">
      <c r="D34">
        <v>125</v>
      </c>
      <c r="E34">
        <v>150</v>
      </c>
      <c r="F34" t="s">
        <v>207</v>
      </c>
      <c r="G34" s="270">
        <v>1650</v>
      </c>
      <c r="I34" s="213"/>
      <c r="J34" s="213"/>
      <c r="K34" s="213"/>
      <c r="L34" s="213"/>
      <c r="M34" s="213"/>
      <c r="N34" s="213"/>
      <c r="O34" s="213"/>
      <c r="P34" s="213"/>
      <c r="AA34" s="213"/>
      <c r="AB34" s="213"/>
      <c r="AC34" s="213"/>
      <c r="AD34" s="213"/>
      <c r="AE34" s="213"/>
      <c r="AF34" s="213"/>
      <c r="AG34" s="213"/>
    </row>
    <row r="35" spans="4:33" x14ac:dyDescent="0.3">
      <c r="D35">
        <v>125</v>
      </c>
      <c r="E35">
        <v>200</v>
      </c>
      <c r="F35" t="s">
        <v>207</v>
      </c>
      <c r="G35" s="270">
        <v>1800</v>
      </c>
      <c r="I35" s="213"/>
      <c r="J35" s="213"/>
      <c r="K35" s="213"/>
      <c r="L35" s="213"/>
      <c r="M35" s="213"/>
      <c r="N35" s="213"/>
      <c r="O35" s="213"/>
      <c r="P35" s="213"/>
      <c r="AA35" s="230" t="s">
        <v>368</v>
      </c>
      <c r="AB35" s="213"/>
      <c r="AC35" s="213"/>
      <c r="AD35" s="213"/>
      <c r="AE35" s="213"/>
      <c r="AF35" s="213"/>
      <c r="AG35" s="213"/>
    </row>
    <row r="36" spans="4:33" x14ac:dyDescent="0.3">
      <c r="D36">
        <v>125</v>
      </c>
      <c r="E36">
        <v>250</v>
      </c>
      <c r="F36" t="s">
        <v>207</v>
      </c>
      <c r="G36" s="270">
        <v>1800</v>
      </c>
      <c r="I36" s="213"/>
      <c r="J36" s="213"/>
      <c r="K36" s="213"/>
      <c r="L36" s="213"/>
      <c r="M36" s="213"/>
      <c r="N36" s="213"/>
      <c r="O36" s="213"/>
      <c r="P36" s="213"/>
      <c r="AA36" s="213" t="s">
        <v>371</v>
      </c>
      <c r="AB36" s="213"/>
      <c r="AC36" s="213"/>
      <c r="AD36" s="213"/>
      <c r="AE36" s="213"/>
      <c r="AF36" s="213"/>
      <c r="AG36" s="213"/>
    </row>
    <row r="37" spans="4:33" x14ac:dyDescent="0.3">
      <c r="D37">
        <v>125</v>
      </c>
      <c r="E37">
        <v>300</v>
      </c>
      <c r="F37" t="s">
        <v>207</v>
      </c>
      <c r="G37" s="270">
        <v>1800</v>
      </c>
      <c r="I37" s="213"/>
      <c r="J37" s="213"/>
      <c r="K37" s="213"/>
      <c r="L37" s="213"/>
      <c r="M37" s="213"/>
      <c r="N37" s="213"/>
      <c r="O37" s="213"/>
      <c r="P37" s="213"/>
      <c r="AA37" s="213"/>
      <c r="AB37" s="213"/>
      <c r="AC37" s="213"/>
      <c r="AD37" s="213"/>
      <c r="AE37" s="213"/>
      <c r="AF37" s="213"/>
      <c r="AG37" s="213"/>
    </row>
    <row r="38" spans="4:33" x14ac:dyDescent="0.3">
      <c r="D38">
        <v>150</v>
      </c>
      <c r="E38">
        <v>15</v>
      </c>
      <c r="F38" t="s">
        <v>205</v>
      </c>
      <c r="G38" s="270">
        <v>750</v>
      </c>
      <c r="I38" s="213"/>
      <c r="J38" s="213"/>
      <c r="K38" s="213"/>
      <c r="L38" s="213"/>
      <c r="M38" s="213"/>
      <c r="N38" s="213"/>
      <c r="O38" s="213"/>
      <c r="P38" s="213"/>
      <c r="S38" s="230" t="s">
        <v>459</v>
      </c>
      <c r="T38" s="213"/>
      <c r="AA38" s="213" t="s">
        <v>369</v>
      </c>
      <c r="AB38" s="213"/>
      <c r="AC38" s="213"/>
      <c r="AD38" s="213"/>
      <c r="AE38" s="213"/>
      <c r="AF38" s="213"/>
      <c r="AG38" s="212">
        <v>9000</v>
      </c>
    </row>
    <row r="39" spans="4:33" x14ac:dyDescent="0.3">
      <c r="D39">
        <v>150</v>
      </c>
      <c r="E39">
        <v>150</v>
      </c>
      <c r="F39" t="s">
        <v>207</v>
      </c>
      <c r="G39" s="270">
        <v>1650</v>
      </c>
      <c r="I39" s="213"/>
      <c r="J39" s="213"/>
      <c r="K39" s="213"/>
      <c r="L39" s="213"/>
      <c r="M39" s="213"/>
      <c r="N39" s="213"/>
      <c r="O39" s="213"/>
      <c r="P39" s="213"/>
      <c r="S39" s="213" t="s">
        <v>257</v>
      </c>
      <c r="T39" s="213" t="s">
        <v>463</v>
      </c>
      <c r="AA39" s="213" t="s">
        <v>370</v>
      </c>
      <c r="AB39" s="213"/>
      <c r="AC39" s="213"/>
      <c r="AD39" s="213"/>
      <c r="AE39" s="213"/>
      <c r="AF39" s="213"/>
      <c r="AG39" s="212">
        <v>11200</v>
      </c>
    </row>
    <row r="40" spans="4:33" x14ac:dyDescent="0.3">
      <c r="D40">
        <v>175</v>
      </c>
      <c r="E40">
        <v>15</v>
      </c>
      <c r="F40" t="s">
        <v>205</v>
      </c>
      <c r="G40" s="270">
        <v>750</v>
      </c>
      <c r="I40" s="213"/>
      <c r="J40" s="213"/>
      <c r="K40" s="213"/>
      <c r="L40" s="213"/>
      <c r="M40" s="213"/>
      <c r="N40" s="213"/>
      <c r="O40" s="213"/>
      <c r="P40" s="213"/>
      <c r="S40" s="213">
        <v>40</v>
      </c>
      <c r="T40" s="215">
        <v>607.54999999999995</v>
      </c>
      <c r="U40" s="270"/>
    </row>
    <row r="41" spans="4:33" ht="18" x14ac:dyDescent="0.35">
      <c r="D41">
        <v>175</v>
      </c>
      <c r="E41">
        <v>150</v>
      </c>
      <c r="F41" t="s">
        <v>207</v>
      </c>
      <c r="G41" s="270">
        <v>1650</v>
      </c>
      <c r="I41" s="213"/>
      <c r="J41" s="213"/>
      <c r="K41" s="213"/>
      <c r="L41" s="213"/>
      <c r="M41" s="213"/>
      <c r="N41" s="213"/>
      <c r="O41" s="213"/>
      <c r="P41" s="213"/>
      <c r="S41" s="213">
        <v>50</v>
      </c>
      <c r="T41" s="215">
        <v>758.35</v>
      </c>
      <c r="U41" s="270"/>
      <c r="AA41" s="211" t="s">
        <v>422</v>
      </c>
      <c r="AB41" s="230"/>
      <c r="AC41" s="213"/>
      <c r="AD41" s="213"/>
      <c r="AE41" s="213"/>
      <c r="AF41" s="213"/>
      <c r="AG41" s="213"/>
    </row>
    <row r="42" spans="4:33" x14ac:dyDescent="0.3">
      <c r="D42">
        <v>200</v>
      </c>
      <c r="E42">
        <v>15</v>
      </c>
      <c r="F42" t="s">
        <v>205</v>
      </c>
      <c r="G42" s="270">
        <v>700</v>
      </c>
      <c r="I42" s="213"/>
      <c r="J42" s="213"/>
      <c r="K42" s="213"/>
      <c r="L42" s="213"/>
      <c r="M42" s="213"/>
      <c r="N42" s="213"/>
      <c r="O42" s="213"/>
      <c r="P42" s="213"/>
      <c r="S42" s="213">
        <v>60</v>
      </c>
      <c r="T42" s="215">
        <v>910.6</v>
      </c>
      <c r="U42" s="270"/>
      <c r="AA42" s="213" t="s">
        <v>419</v>
      </c>
      <c r="AB42" s="213"/>
      <c r="AC42" s="213"/>
      <c r="AD42" s="213"/>
      <c r="AE42" s="213"/>
      <c r="AF42" s="213"/>
      <c r="AG42" s="213"/>
    </row>
    <row r="43" spans="4:33" x14ac:dyDescent="0.3">
      <c r="D43">
        <v>200</v>
      </c>
      <c r="E43">
        <v>150</v>
      </c>
      <c r="F43" t="s">
        <v>207</v>
      </c>
      <c r="G43" s="270">
        <v>1800</v>
      </c>
      <c r="I43" s="213"/>
      <c r="J43" s="213"/>
      <c r="K43" s="213"/>
      <c r="L43" s="213"/>
      <c r="M43" s="213"/>
      <c r="N43" s="213"/>
      <c r="O43" s="213"/>
      <c r="P43" s="213"/>
      <c r="S43" s="213">
        <v>70</v>
      </c>
      <c r="T43" s="215">
        <v>1061.3999999999999</v>
      </c>
      <c r="U43" s="270"/>
      <c r="AA43" s="213" t="s">
        <v>373</v>
      </c>
      <c r="AB43" s="213"/>
      <c r="AC43" s="213"/>
      <c r="AD43" s="213"/>
      <c r="AE43" s="213"/>
      <c r="AF43" s="213"/>
      <c r="AG43" s="213"/>
    </row>
    <row r="44" spans="4:33" x14ac:dyDescent="0.3">
      <c r="D44">
        <v>250</v>
      </c>
      <c r="E44">
        <v>15</v>
      </c>
      <c r="F44" t="s">
        <v>205</v>
      </c>
      <c r="G44" s="270">
        <v>700</v>
      </c>
      <c r="S44" s="213">
        <v>80</v>
      </c>
      <c r="T44" s="215">
        <v>1213.6499999999999</v>
      </c>
      <c r="U44" s="270"/>
      <c r="AA44" s="213"/>
      <c r="AB44" s="213"/>
      <c r="AC44" s="213"/>
      <c r="AD44" s="213"/>
      <c r="AE44" s="213"/>
      <c r="AF44" s="213"/>
      <c r="AG44" s="213"/>
    </row>
    <row r="45" spans="4:33" x14ac:dyDescent="0.3">
      <c r="D45">
        <v>250</v>
      </c>
      <c r="E45">
        <v>150</v>
      </c>
      <c r="F45" t="s">
        <v>207</v>
      </c>
      <c r="G45" s="270">
        <v>1800</v>
      </c>
      <c r="S45" s="213">
        <v>100</v>
      </c>
      <c r="T45" s="215">
        <v>1503.6499999999999</v>
      </c>
      <c r="U45" s="270"/>
      <c r="AA45" s="213" t="s">
        <v>17</v>
      </c>
      <c r="AB45" s="212">
        <v>7050</v>
      </c>
      <c r="AC45" s="213" t="s">
        <v>420</v>
      </c>
      <c r="AD45" s="213"/>
      <c r="AE45" s="213"/>
      <c r="AF45" s="213"/>
      <c r="AG45" s="213"/>
    </row>
    <row r="46" spans="4:33" x14ac:dyDescent="0.3">
      <c r="D46">
        <v>300</v>
      </c>
      <c r="E46">
        <v>15</v>
      </c>
      <c r="F46" t="s">
        <v>205</v>
      </c>
      <c r="G46" s="270">
        <v>700</v>
      </c>
      <c r="S46" s="213">
        <v>125</v>
      </c>
      <c r="T46" s="215">
        <v>1896.6</v>
      </c>
      <c r="U46" s="270"/>
      <c r="AA46" s="213" t="s">
        <v>374</v>
      </c>
      <c r="AB46" s="212">
        <v>1550</v>
      </c>
      <c r="AC46" s="213" t="s">
        <v>421</v>
      </c>
      <c r="AD46" s="213"/>
      <c r="AE46" s="213"/>
      <c r="AF46" s="213"/>
      <c r="AG46" s="213"/>
    </row>
    <row r="47" spans="4:33" x14ac:dyDescent="0.3">
      <c r="D47">
        <v>300</v>
      </c>
      <c r="E47">
        <v>150</v>
      </c>
      <c r="F47" t="s">
        <v>207</v>
      </c>
      <c r="G47" s="270">
        <v>1800</v>
      </c>
      <c r="S47" s="213">
        <v>150</v>
      </c>
      <c r="T47" s="215">
        <v>2275.0499999999997</v>
      </c>
      <c r="U47" s="270"/>
      <c r="AA47" s="213" t="s">
        <v>187</v>
      </c>
      <c r="AB47" s="212">
        <v>0</v>
      </c>
      <c r="AC47" s="213"/>
      <c r="AD47" s="213"/>
      <c r="AE47" s="213"/>
      <c r="AF47" s="213"/>
      <c r="AG47" s="213"/>
    </row>
    <row r="48" spans="4:33" x14ac:dyDescent="0.3">
      <c r="D48">
        <v>350</v>
      </c>
      <c r="E48">
        <v>15</v>
      </c>
      <c r="F48" t="s">
        <v>205</v>
      </c>
      <c r="G48" s="270">
        <v>700</v>
      </c>
      <c r="S48" s="213">
        <v>175</v>
      </c>
      <c r="T48" s="215">
        <v>2654.95</v>
      </c>
      <c r="U48" s="270"/>
      <c r="AA48" s="213"/>
      <c r="AB48" s="212"/>
      <c r="AC48" s="213"/>
      <c r="AD48" s="213"/>
      <c r="AE48" s="213"/>
      <c r="AF48" s="213"/>
      <c r="AG48" s="213"/>
    </row>
    <row r="49" spans="4:34" ht="18.75" customHeight="1" x14ac:dyDescent="0.3">
      <c r="D49">
        <v>350</v>
      </c>
      <c r="E49">
        <v>150</v>
      </c>
      <c r="F49" t="s">
        <v>207</v>
      </c>
      <c r="G49" s="270">
        <v>1800</v>
      </c>
      <c r="S49" s="213">
        <v>200</v>
      </c>
      <c r="T49" s="215">
        <v>3033.4</v>
      </c>
      <c r="U49" s="270"/>
      <c r="AA49" s="213"/>
      <c r="AB49" s="213">
        <v>15</v>
      </c>
      <c r="AC49" s="213">
        <v>150</v>
      </c>
      <c r="AD49" s="213">
        <v>200</v>
      </c>
      <c r="AE49" s="213">
        <v>250</v>
      </c>
      <c r="AF49" s="213">
        <v>300</v>
      </c>
      <c r="AG49" s="213"/>
    </row>
    <row r="50" spans="4:34" x14ac:dyDescent="0.3">
      <c r="D50">
        <v>400</v>
      </c>
      <c r="E50">
        <v>15</v>
      </c>
      <c r="F50" t="s">
        <v>205</v>
      </c>
      <c r="G50" s="270">
        <v>700</v>
      </c>
      <c r="S50" s="213">
        <v>250</v>
      </c>
      <c r="T50" s="215">
        <v>3791.75</v>
      </c>
      <c r="U50" s="270"/>
      <c r="AA50" s="213"/>
      <c r="AB50" s="213" t="s">
        <v>17</v>
      </c>
      <c r="AC50" s="213" t="s">
        <v>17</v>
      </c>
      <c r="AD50" s="213" t="s">
        <v>17</v>
      </c>
      <c r="AE50" s="213" t="s">
        <v>17</v>
      </c>
      <c r="AF50" s="213" t="s">
        <v>374</v>
      </c>
      <c r="AG50" s="213"/>
    </row>
    <row r="51" spans="4:34" x14ac:dyDescent="0.3">
      <c r="D51">
        <v>400</v>
      </c>
      <c r="E51">
        <v>150</v>
      </c>
      <c r="F51" t="s">
        <v>207</v>
      </c>
      <c r="G51" s="270">
        <v>1800</v>
      </c>
      <c r="S51" s="213">
        <v>300</v>
      </c>
      <c r="T51" s="215">
        <v>4550.0999999999995</v>
      </c>
      <c r="U51" s="270"/>
      <c r="AA51" s="213"/>
      <c r="AB51" s="213" t="s">
        <v>374</v>
      </c>
      <c r="AC51" s="213" t="s">
        <v>374</v>
      </c>
      <c r="AD51" s="213" t="s">
        <v>374</v>
      </c>
      <c r="AE51" s="213" t="s">
        <v>374</v>
      </c>
      <c r="AF51" s="213" t="s">
        <v>187</v>
      </c>
      <c r="AG51" s="213"/>
    </row>
    <row r="52" spans="4:34" x14ac:dyDescent="0.3">
      <c r="D52">
        <v>500</v>
      </c>
      <c r="E52">
        <v>15</v>
      </c>
      <c r="F52" t="s">
        <v>205</v>
      </c>
      <c r="G52" s="270">
        <v>700</v>
      </c>
      <c r="S52" s="213">
        <v>350</v>
      </c>
      <c r="T52" s="215">
        <v>5308.45</v>
      </c>
      <c r="U52" s="270"/>
      <c r="AA52" s="213"/>
      <c r="AB52" s="213" t="s">
        <v>187</v>
      </c>
      <c r="AC52" s="213" t="s">
        <v>187</v>
      </c>
      <c r="AD52" s="213" t="s">
        <v>187</v>
      </c>
      <c r="AE52" s="213" t="s">
        <v>187</v>
      </c>
      <c r="AF52" s="213"/>
      <c r="AG52" s="213"/>
    </row>
    <row r="53" spans="4:34" x14ac:dyDescent="0.3">
      <c r="D53">
        <v>500</v>
      </c>
      <c r="E53">
        <v>150</v>
      </c>
      <c r="F53" t="s">
        <v>207</v>
      </c>
      <c r="G53" s="270">
        <v>1800</v>
      </c>
      <c r="S53" s="213">
        <v>400</v>
      </c>
      <c r="T53" s="215">
        <v>6068.25</v>
      </c>
      <c r="U53" s="270"/>
    </row>
    <row r="54" spans="4:34" x14ac:dyDescent="0.3">
      <c r="D54">
        <v>600</v>
      </c>
      <c r="E54">
        <v>15</v>
      </c>
      <c r="F54" t="s">
        <v>205</v>
      </c>
      <c r="G54" s="270">
        <v>1300</v>
      </c>
      <c r="S54" s="213">
        <v>500</v>
      </c>
      <c r="T54" s="215">
        <v>7584.95</v>
      </c>
      <c r="U54" s="270"/>
    </row>
    <row r="55" spans="4:34" ht="18" x14ac:dyDescent="0.35">
      <c r="D55">
        <v>600</v>
      </c>
      <c r="E55">
        <v>150</v>
      </c>
      <c r="F55" t="s">
        <v>207</v>
      </c>
      <c r="G55" s="270">
        <v>2500</v>
      </c>
      <c r="S55" s="213">
        <v>600</v>
      </c>
      <c r="T55" s="215">
        <v>9101.65</v>
      </c>
      <c r="U55" s="270"/>
      <c r="AA55" s="211" t="s">
        <v>230</v>
      </c>
      <c r="AB55" s="213"/>
      <c r="AC55" s="213"/>
      <c r="AD55" s="213"/>
      <c r="AE55" s="213"/>
      <c r="AF55" s="213"/>
      <c r="AG55" s="213"/>
      <c r="AH55" s="213"/>
    </row>
    <row r="56" spans="4:34" ht="18" x14ac:dyDescent="0.35">
      <c r="D56">
        <v>700</v>
      </c>
      <c r="E56">
        <v>15</v>
      </c>
      <c r="F56" t="s">
        <v>205</v>
      </c>
      <c r="G56" s="270">
        <v>1300</v>
      </c>
      <c r="S56" s="213">
        <v>700</v>
      </c>
      <c r="T56" s="215">
        <v>10618.35</v>
      </c>
      <c r="U56" s="270"/>
      <c r="AA56" s="211"/>
      <c r="AB56" s="213"/>
      <c r="AC56" s="217" t="s">
        <v>231</v>
      </c>
      <c r="AD56" s="213"/>
      <c r="AE56" s="213"/>
      <c r="AF56" s="213"/>
      <c r="AG56" s="213"/>
      <c r="AH56" s="213"/>
    </row>
    <row r="57" spans="4:34" x14ac:dyDescent="0.3">
      <c r="D57">
        <v>700</v>
      </c>
      <c r="E57">
        <v>150</v>
      </c>
      <c r="F57" t="s">
        <v>207</v>
      </c>
      <c r="G57" s="270">
        <v>2500</v>
      </c>
      <c r="S57" s="213">
        <v>800</v>
      </c>
      <c r="T57" s="215">
        <v>12135.05</v>
      </c>
      <c r="U57" s="270"/>
      <c r="AA57" s="333" t="s">
        <v>232</v>
      </c>
      <c r="AB57" s="333"/>
      <c r="AC57" s="333"/>
      <c r="AD57" s="333"/>
      <c r="AE57" s="333"/>
      <c r="AF57" s="333"/>
      <c r="AG57" s="333"/>
      <c r="AH57" s="333"/>
    </row>
    <row r="58" spans="4:34" x14ac:dyDescent="0.3">
      <c r="D58">
        <v>800</v>
      </c>
      <c r="E58">
        <v>15</v>
      </c>
      <c r="F58" t="s">
        <v>205</v>
      </c>
      <c r="G58" s="270">
        <v>1300</v>
      </c>
      <c r="S58" s="213">
        <v>900</v>
      </c>
      <c r="T58" s="215">
        <v>13651.75</v>
      </c>
      <c r="U58" s="270"/>
      <c r="AA58" s="333"/>
      <c r="AB58" s="333"/>
      <c r="AC58" s="333"/>
      <c r="AD58" s="333"/>
      <c r="AE58" s="333"/>
      <c r="AF58" s="333"/>
      <c r="AG58" s="333"/>
      <c r="AH58" s="333"/>
    </row>
    <row r="59" spans="4:34" ht="15" thickBot="1" x14ac:dyDescent="0.35">
      <c r="D59">
        <v>800</v>
      </c>
      <c r="E59">
        <v>150</v>
      </c>
      <c r="F59" t="s">
        <v>207</v>
      </c>
      <c r="G59" s="270">
        <v>2500</v>
      </c>
      <c r="AA59" s="213"/>
      <c r="AB59" s="213"/>
      <c r="AC59" s="213"/>
      <c r="AD59" s="213"/>
      <c r="AE59" s="213"/>
      <c r="AF59" s="213"/>
      <c r="AG59" s="213"/>
      <c r="AH59" s="213"/>
    </row>
    <row r="60" spans="4:34" ht="15" thickBot="1" x14ac:dyDescent="0.35">
      <c r="D60">
        <v>900</v>
      </c>
      <c r="E60">
        <v>15</v>
      </c>
      <c r="F60" t="s">
        <v>205</v>
      </c>
      <c r="G60" s="270">
        <v>1300</v>
      </c>
      <c r="AA60" s="213"/>
      <c r="AB60" s="213"/>
      <c r="AC60" s="213"/>
      <c r="AD60" s="218" t="s">
        <v>227</v>
      </c>
      <c r="AE60" s="219" t="s">
        <v>211</v>
      </c>
      <c r="AF60" s="213"/>
      <c r="AG60" s="213"/>
      <c r="AH60" s="213"/>
    </row>
    <row r="61" spans="4:34" ht="15" thickTop="1" x14ac:dyDescent="0.3">
      <c r="D61">
        <v>900</v>
      </c>
      <c r="E61">
        <v>150</v>
      </c>
      <c r="F61" t="s">
        <v>207</v>
      </c>
      <c r="G61" s="270">
        <v>2500</v>
      </c>
      <c r="AA61" s="213"/>
      <c r="AB61" s="213"/>
      <c r="AC61" s="213"/>
      <c r="AD61" s="220" t="s">
        <v>228</v>
      </c>
      <c r="AE61" s="221">
        <v>1000</v>
      </c>
      <c r="AF61" s="222"/>
      <c r="AG61" s="222"/>
      <c r="AH61" s="213"/>
    </row>
    <row r="62" spans="4:34" ht="15" customHeight="1" x14ac:dyDescent="0.3">
      <c r="D62">
        <v>150</v>
      </c>
      <c r="E62">
        <v>200</v>
      </c>
      <c r="F62" t="s">
        <v>207</v>
      </c>
      <c r="G62" s="270">
        <v>1800</v>
      </c>
      <c r="AA62" s="213"/>
      <c r="AB62" s="213"/>
      <c r="AC62" s="213"/>
      <c r="AD62" s="223" t="s">
        <v>233</v>
      </c>
      <c r="AE62" s="221">
        <v>1300</v>
      </c>
      <c r="AF62" s="222"/>
      <c r="AG62" s="222"/>
      <c r="AH62" s="213"/>
    </row>
    <row r="63" spans="4:34" x14ac:dyDescent="0.3">
      <c r="D63">
        <v>150</v>
      </c>
      <c r="E63">
        <v>250</v>
      </c>
      <c r="F63" t="s">
        <v>207</v>
      </c>
      <c r="G63" s="270">
        <v>1800</v>
      </c>
      <c r="AA63" s="213"/>
      <c r="AB63" s="213"/>
      <c r="AC63" s="213"/>
      <c r="AD63" s="223">
        <v>250</v>
      </c>
      <c r="AE63" s="221">
        <v>1500</v>
      </c>
      <c r="AF63" s="222"/>
      <c r="AG63" s="222"/>
      <c r="AH63" s="213"/>
    </row>
    <row r="64" spans="4:34" x14ac:dyDescent="0.3">
      <c r="D64">
        <v>150</v>
      </c>
      <c r="E64">
        <v>300</v>
      </c>
      <c r="F64" t="s">
        <v>207</v>
      </c>
      <c r="G64" s="270">
        <v>1800</v>
      </c>
      <c r="AA64" s="213"/>
      <c r="AB64" s="213"/>
      <c r="AC64" s="213"/>
      <c r="AD64" s="223" t="s">
        <v>234</v>
      </c>
      <c r="AE64" s="221">
        <v>2200</v>
      </c>
      <c r="AF64" s="222"/>
      <c r="AG64" s="222"/>
      <c r="AH64" s="213"/>
    </row>
    <row r="65" spans="4:34" ht="24" customHeight="1" x14ac:dyDescent="0.3">
      <c r="D65">
        <v>175</v>
      </c>
      <c r="E65">
        <v>200</v>
      </c>
      <c r="F65" t="s">
        <v>207</v>
      </c>
      <c r="G65" s="270">
        <v>1800</v>
      </c>
      <c r="AA65" s="213"/>
      <c r="AB65" s="213"/>
      <c r="AC65" s="213"/>
      <c r="AD65" s="223">
        <v>700</v>
      </c>
      <c r="AE65" s="221">
        <v>2600</v>
      </c>
      <c r="AF65" s="222"/>
      <c r="AG65" s="222"/>
      <c r="AH65" s="213"/>
    </row>
    <row r="66" spans="4:34" ht="24" customHeight="1" thickBot="1" x14ac:dyDescent="0.35">
      <c r="D66">
        <v>175</v>
      </c>
      <c r="E66">
        <v>250</v>
      </c>
      <c r="F66" t="s">
        <v>207</v>
      </c>
      <c r="G66" s="270">
        <v>1800</v>
      </c>
      <c r="AA66" s="213"/>
      <c r="AB66" s="213"/>
      <c r="AC66" s="213"/>
      <c r="AD66" s="224" t="s">
        <v>235</v>
      </c>
      <c r="AE66" s="225">
        <v>2800</v>
      </c>
      <c r="AF66" s="222"/>
      <c r="AG66" s="222"/>
      <c r="AH66" s="213"/>
    </row>
    <row r="67" spans="4:34" x14ac:dyDescent="0.3">
      <c r="D67">
        <v>175</v>
      </c>
      <c r="E67">
        <v>300</v>
      </c>
      <c r="F67" t="s">
        <v>207</v>
      </c>
      <c r="G67" s="270">
        <v>1800</v>
      </c>
    </row>
    <row r="68" spans="4:34" ht="18" x14ac:dyDescent="0.35">
      <c r="D68">
        <v>200</v>
      </c>
      <c r="E68">
        <v>200</v>
      </c>
      <c r="F68" t="s">
        <v>207</v>
      </c>
      <c r="G68" s="270">
        <v>1800</v>
      </c>
      <c r="AA68" s="211" t="s">
        <v>380</v>
      </c>
      <c r="AB68" s="230"/>
      <c r="AC68" s="230"/>
      <c r="AD68" s="230"/>
      <c r="AE68" s="230"/>
      <c r="AF68" s="230"/>
      <c r="AG68" s="230"/>
      <c r="AH68" s="230"/>
    </row>
    <row r="69" spans="4:34" x14ac:dyDescent="0.3">
      <c r="D69">
        <v>200</v>
      </c>
      <c r="E69">
        <v>250</v>
      </c>
      <c r="F69" t="s">
        <v>207</v>
      </c>
      <c r="G69" s="270">
        <v>1800</v>
      </c>
      <c r="AA69" s="340" t="s">
        <v>381</v>
      </c>
      <c r="AB69" s="340"/>
      <c r="AC69" s="340"/>
      <c r="AD69" s="340"/>
      <c r="AE69" s="340"/>
      <c r="AF69" s="340"/>
      <c r="AG69" s="340"/>
      <c r="AH69" s="340"/>
    </row>
    <row r="70" spans="4:34" x14ac:dyDescent="0.3">
      <c r="D70">
        <v>200</v>
      </c>
      <c r="E70">
        <v>300</v>
      </c>
      <c r="F70" t="s">
        <v>207</v>
      </c>
      <c r="G70" s="270">
        <v>1800</v>
      </c>
      <c r="AA70" s="340"/>
      <c r="AB70" s="340"/>
      <c r="AC70" s="340"/>
      <c r="AD70" s="340"/>
      <c r="AE70" s="340"/>
      <c r="AF70" s="340"/>
      <c r="AG70" s="340"/>
      <c r="AH70" s="340"/>
    </row>
    <row r="71" spans="4:34" x14ac:dyDescent="0.3">
      <c r="D71">
        <v>250</v>
      </c>
      <c r="E71">
        <v>200</v>
      </c>
      <c r="F71" t="s">
        <v>207</v>
      </c>
      <c r="G71" s="270">
        <v>1800</v>
      </c>
      <c r="AA71" s="340"/>
      <c r="AB71" s="340"/>
      <c r="AC71" s="340"/>
      <c r="AD71" s="340"/>
      <c r="AE71" s="340"/>
      <c r="AF71" s="340"/>
      <c r="AG71" s="340"/>
      <c r="AH71" s="340"/>
    </row>
    <row r="72" spans="4:34" x14ac:dyDescent="0.3">
      <c r="D72">
        <v>250</v>
      </c>
      <c r="E72">
        <v>250</v>
      </c>
      <c r="F72" t="s">
        <v>207</v>
      </c>
      <c r="G72" s="270">
        <v>1800</v>
      </c>
      <c r="AA72" s="213"/>
      <c r="AB72" s="213"/>
      <c r="AC72" s="213"/>
      <c r="AD72" s="213"/>
      <c r="AE72" s="213"/>
      <c r="AF72" s="213"/>
      <c r="AG72" s="213"/>
      <c r="AH72" s="213"/>
    </row>
    <row r="73" spans="4:34" ht="18.75" customHeight="1" x14ac:dyDescent="0.3">
      <c r="D73">
        <v>250</v>
      </c>
      <c r="E73">
        <v>300</v>
      </c>
      <c r="F73" t="s">
        <v>207</v>
      </c>
      <c r="G73" s="270">
        <v>1800</v>
      </c>
      <c r="AA73" s="213" t="s">
        <v>382</v>
      </c>
      <c r="AB73" s="212">
        <v>2800</v>
      </c>
      <c r="AC73" s="213"/>
      <c r="AD73" s="213"/>
      <c r="AE73" s="213"/>
      <c r="AF73" s="213"/>
      <c r="AG73" s="213"/>
      <c r="AH73" s="213"/>
    </row>
    <row r="74" spans="4:34" x14ac:dyDescent="0.3">
      <c r="D74">
        <v>300</v>
      </c>
      <c r="E74">
        <v>200</v>
      </c>
      <c r="F74" t="s">
        <v>207</v>
      </c>
      <c r="G74" s="270">
        <v>1800</v>
      </c>
    </row>
    <row r="75" spans="4:34" ht="18" x14ac:dyDescent="0.35">
      <c r="D75">
        <v>300</v>
      </c>
      <c r="E75">
        <v>250</v>
      </c>
      <c r="F75" t="s">
        <v>207</v>
      </c>
      <c r="G75" s="270">
        <v>1800</v>
      </c>
      <c r="AA75" s="211" t="s">
        <v>175</v>
      </c>
      <c r="AB75" s="213"/>
      <c r="AC75" s="213"/>
      <c r="AD75" s="213"/>
      <c r="AE75" s="213"/>
      <c r="AF75" s="213"/>
      <c r="AG75" s="213"/>
      <c r="AH75" s="213"/>
    </row>
    <row r="76" spans="4:34" x14ac:dyDescent="0.3">
      <c r="D76">
        <v>300</v>
      </c>
      <c r="E76">
        <v>300</v>
      </c>
      <c r="F76" t="s">
        <v>207</v>
      </c>
      <c r="G76" s="270">
        <v>1800</v>
      </c>
      <c r="AA76" s="341" t="s">
        <v>383</v>
      </c>
      <c r="AB76" s="341"/>
      <c r="AC76" s="341"/>
      <c r="AD76" s="341"/>
      <c r="AE76" s="341"/>
      <c r="AF76" s="341"/>
      <c r="AG76" s="341"/>
      <c r="AH76" s="341"/>
    </row>
    <row r="77" spans="4:34" x14ac:dyDescent="0.3">
      <c r="D77">
        <v>350</v>
      </c>
      <c r="E77">
        <v>200</v>
      </c>
      <c r="F77" t="s">
        <v>207</v>
      </c>
      <c r="G77" s="270">
        <v>1800</v>
      </c>
      <c r="AA77" s="213"/>
      <c r="AB77" s="213"/>
      <c r="AC77" s="213"/>
      <c r="AD77" s="227"/>
      <c r="AE77" s="228"/>
      <c r="AF77" s="213"/>
      <c r="AG77" s="213"/>
      <c r="AH77" s="213"/>
    </row>
    <row r="78" spans="4:34" x14ac:dyDescent="0.3">
      <c r="D78">
        <v>350</v>
      </c>
      <c r="E78">
        <v>250</v>
      </c>
      <c r="F78" t="s">
        <v>207</v>
      </c>
      <c r="G78" s="270">
        <v>1800</v>
      </c>
      <c r="AA78" s="213"/>
      <c r="AB78" s="213" t="s">
        <v>384</v>
      </c>
      <c r="AC78" s="213"/>
      <c r="AD78" s="234"/>
      <c r="AE78" s="235"/>
      <c r="AF78" s="236">
        <v>1600</v>
      </c>
      <c r="AG78" s="222"/>
      <c r="AH78" s="213"/>
    </row>
    <row r="79" spans="4:34" x14ac:dyDescent="0.3">
      <c r="D79">
        <v>350</v>
      </c>
      <c r="E79">
        <v>300</v>
      </c>
      <c r="F79" t="s">
        <v>207</v>
      </c>
      <c r="G79" s="270">
        <v>1800</v>
      </c>
    </row>
    <row r="80" spans="4:34" ht="18" x14ac:dyDescent="0.35">
      <c r="D80" s="161">
        <v>400</v>
      </c>
      <c r="E80">
        <v>200</v>
      </c>
      <c r="F80" t="s">
        <v>207</v>
      </c>
      <c r="G80" s="270">
        <v>1800</v>
      </c>
      <c r="AA80" s="211" t="s">
        <v>385</v>
      </c>
      <c r="AB80" s="213"/>
      <c r="AC80" s="213"/>
      <c r="AD80" s="213"/>
      <c r="AE80" s="213"/>
      <c r="AF80" s="213"/>
      <c r="AG80" s="213"/>
      <c r="AH80" s="213"/>
    </row>
    <row r="81" spans="4:34" x14ac:dyDescent="0.3">
      <c r="D81">
        <v>400</v>
      </c>
      <c r="E81">
        <v>250</v>
      </c>
      <c r="F81" t="s">
        <v>207</v>
      </c>
      <c r="G81" s="270">
        <v>1800</v>
      </c>
      <c r="AA81" s="342" t="s">
        <v>386</v>
      </c>
      <c r="AB81" s="342"/>
      <c r="AC81" s="342"/>
      <c r="AD81" s="342"/>
      <c r="AE81" s="342"/>
      <c r="AF81" s="342"/>
      <c r="AG81" s="342"/>
      <c r="AH81" s="342"/>
    </row>
    <row r="82" spans="4:34" x14ac:dyDescent="0.3">
      <c r="D82">
        <v>400</v>
      </c>
      <c r="E82">
        <v>300</v>
      </c>
      <c r="F82" t="s">
        <v>207</v>
      </c>
      <c r="G82" s="270">
        <v>1800</v>
      </c>
      <c r="AA82" s="342"/>
      <c r="AB82" s="342"/>
      <c r="AC82" s="342"/>
      <c r="AD82" s="342"/>
      <c r="AE82" s="342"/>
      <c r="AF82" s="342"/>
      <c r="AG82" s="342"/>
      <c r="AH82" s="342"/>
    </row>
    <row r="83" spans="4:34" x14ac:dyDescent="0.3">
      <c r="D83">
        <v>500</v>
      </c>
      <c r="E83">
        <v>200</v>
      </c>
      <c r="F83" t="s">
        <v>207</v>
      </c>
      <c r="G83" s="270">
        <v>1800</v>
      </c>
      <c r="AA83" s="213"/>
      <c r="AB83" s="213"/>
      <c r="AC83" s="213"/>
      <c r="AD83" s="213"/>
      <c r="AE83" s="213"/>
      <c r="AF83" s="213"/>
      <c r="AG83" s="213"/>
      <c r="AH83" s="213"/>
    </row>
    <row r="84" spans="4:34" x14ac:dyDescent="0.3">
      <c r="D84">
        <v>500</v>
      </c>
      <c r="E84">
        <v>250</v>
      </c>
      <c r="F84" t="s">
        <v>207</v>
      </c>
      <c r="G84" s="270">
        <v>1800</v>
      </c>
      <c r="AA84" s="213"/>
      <c r="AB84" s="213" t="s">
        <v>387</v>
      </c>
      <c r="AC84" s="213"/>
      <c r="AD84" s="212">
        <v>2300</v>
      </c>
      <c r="AE84" s="213"/>
      <c r="AF84" s="213"/>
      <c r="AG84" s="213"/>
      <c r="AH84" s="213"/>
    </row>
    <row r="85" spans="4:34" x14ac:dyDescent="0.3">
      <c r="D85">
        <v>500</v>
      </c>
      <c r="E85">
        <v>300</v>
      </c>
      <c r="F85" t="s">
        <v>207</v>
      </c>
      <c r="G85" s="270">
        <v>1800</v>
      </c>
    </row>
    <row r="86" spans="4:34" ht="18" x14ac:dyDescent="0.35">
      <c r="D86">
        <v>600</v>
      </c>
      <c r="E86">
        <v>200</v>
      </c>
      <c r="F86" t="s">
        <v>207</v>
      </c>
      <c r="G86" s="270">
        <v>2500</v>
      </c>
      <c r="AA86" s="211" t="s">
        <v>388</v>
      </c>
      <c r="AB86" s="213"/>
      <c r="AC86" s="213"/>
      <c r="AD86" s="229"/>
      <c r="AE86" s="229"/>
      <c r="AF86" s="213"/>
      <c r="AG86" s="213"/>
      <c r="AH86" s="213"/>
    </row>
    <row r="87" spans="4:34" x14ac:dyDescent="0.3">
      <c r="D87">
        <v>600</v>
      </c>
      <c r="E87">
        <v>250</v>
      </c>
      <c r="F87" t="s">
        <v>207</v>
      </c>
      <c r="G87" s="270">
        <v>2500</v>
      </c>
      <c r="AA87" s="213"/>
      <c r="AB87" s="213"/>
      <c r="AC87" s="213"/>
      <c r="AD87" s="229"/>
      <c r="AE87" s="229"/>
      <c r="AF87" s="213"/>
      <c r="AG87" s="213"/>
      <c r="AH87" s="213"/>
    </row>
    <row r="88" spans="4:34" ht="15.6" x14ac:dyDescent="0.3">
      <c r="D88">
        <v>600</v>
      </c>
      <c r="E88">
        <v>300</v>
      </c>
      <c r="F88" t="s">
        <v>207</v>
      </c>
      <c r="G88" s="270">
        <v>2500</v>
      </c>
      <c r="P88" t="s">
        <v>1</v>
      </c>
      <c r="AA88" s="213"/>
      <c r="AB88" s="217" t="s">
        <v>218</v>
      </c>
      <c r="AC88" s="213"/>
      <c r="AD88" s="229"/>
      <c r="AE88" s="229"/>
      <c r="AF88" s="213"/>
      <c r="AG88" s="213"/>
      <c r="AH88" s="213"/>
    </row>
    <row r="89" spans="4:34" x14ac:dyDescent="0.3">
      <c r="D89">
        <v>700</v>
      </c>
      <c r="E89">
        <v>200</v>
      </c>
      <c r="F89" t="s">
        <v>207</v>
      </c>
      <c r="G89" s="270">
        <v>2500</v>
      </c>
      <c r="AA89" s="237" t="s">
        <v>389</v>
      </c>
      <c r="AB89" s="237"/>
      <c r="AC89" s="237"/>
      <c r="AD89" s="237"/>
      <c r="AE89" s="238">
        <v>3400</v>
      </c>
      <c r="AF89" s="213"/>
      <c r="AG89" s="213"/>
      <c r="AH89" s="213"/>
    </row>
    <row r="90" spans="4:34" x14ac:dyDescent="0.3">
      <c r="D90">
        <v>700</v>
      </c>
      <c r="E90">
        <v>250</v>
      </c>
      <c r="F90" t="s">
        <v>207</v>
      </c>
      <c r="G90" s="270">
        <v>2500</v>
      </c>
    </row>
    <row r="91" spans="4:34" ht="18" x14ac:dyDescent="0.35">
      <c r="D91">
        <v>700</v>
      </c>
      <c r="E91">
        <v>300</v>
      </c>
      <c r="F91" t="s">
        <v>207</v>
      </c>
      <c r="G91" s="270">
        <v>2500</v>
      </c>
      <c r="AA91" s="211" t="s">
        <v>390</v>
      </c>
      <c r="AB91" s="213"/>
      <c r="AC91" s="213"/>
      <c r="AD91" s="213"/>
      <c r="AE91" s="213"/>
      <c r="AF91" s="213"/>
      <c r="AG91" s="213"/>
      <c r="AH91" s="213"/>
    </row>
    <row r="92" spans="4:34" ht="15.6" x14ac:dyDescent="0.3">
      <c r="D92">
        <v>800</v>
      </c>
      <c r="E92">
        <v>200</v>
      </c>
      <c r="F92" t="s">
        <v>207</v>
      </c>
      <c r="G92" s="270">
        <v>2500</v>
      </c>
      <c r="AA92" s="213"/>
      <c r="AB92" s="217" t="s">
        <v>391</v>
      </c>
      <c r="AC92" s="213"/>
      <c r="AD92" s="212">
        <v>1200</v>
      </c>
      <c r="AE92" s="213"/>
      <c r="AF92" s="213"/>
      <c r="AG92" s="213"/>
      <c r="AH92" s="213"/>
    </row>
    <row r="93" spans="4:34" x14ac:dyDescent="0.3">
      <c r="D93">
        <v>800</v>
      </c>
      <c r="E93">
        <v>250</v>
      </c>
      <c r="F93" t="s">
        <v>207</v>
      </c>
      <c r="G93" s="270">
        <v>2500</v>
      </c>
    </row>
    <row r="94" spans="4:34" ht="15.6" x14ac:dyDescent="0.3">
      <c r="D94">
        <v>800</v>
      </c>
      <c r="E94">
        <v>300</v>
      </c>
      <c r="F94" t="s">
        <v>207</v>
      </c>
      <c r="G94" s="270">
        <v>2500</v>
      </c>
      <c r="AA94" s="213"/>
      <c r="AB94" s="213"/>
      <c r="AC94" s="217" t="s">
        <v>489</v>
      </c>
      <c r="AD94" s="213"/>
      <c r="AE94" s="213"/>
      <c r="AF94" s="213"/>
      <c r="AG94" s="213"/>
      <c r="AH94" s="213"/>
    </row>
    <row r="95" spans="4:34" x14ac:dyDescent="0.3">
      <c r="D95">
        <v>900</v>
      </c>
      <c r="E95">
        <v>200</v>
      </c>
      <c r="F95" t="s">
        <v>207</v>
      </c>
      <c r="G95" s="270">
        <v>2500</v>
      </c>
      <c r="AA95" s="333" t="s">
        <v>392</v>
      </c>
      <c r="AB95" s="333"/>
      <c r="AC95" s="333"/>
      <c r="AD95" s="333"/>
      <c r="AE95" s="333"/>
      <c r="AF95" s="333"/>
      <c r="AG95" s="333"/>
      <c r="AH95" s="333"/>
    </row>
    <row r="96" spans="4:34" x14ac:dyDescent="0.3">
      <c r="D96">
        <v>900</v>
      </c>
      <c r="E96">
        <v>250</v>
      </c>
      <c r="F96" t="s">
        <v>207</v>
      </c>
      <c r="G96" s="270">
        <v>2500</v>
      </c>
      <c r="AA96" s="333"/>
      <c r="AB96" s="333"/>
      <c r="AC96" s="333"/>
      <c r="AD96" s="333"/>
      <c r="AE96" s="333"/>
      <c r="AF96" s="333"/>
      <c r="AG96" s="333"/>
      <c r="AH96" s="333"/>
    </row>
    <row r="97" spans="4:35" x14ac:dyDescent="0.3">
      <c r="D97">
        <v>900</v>
      </c>
      <c r="E97">
        <v>300</v>
      </c>
      <c r="F97" t="s">
        <v>207</v>
      </c>
      <c r="G97" s="270">
        <v>2500</v>
      </c>
      <c r="AA97" s="213"/>
      <c r="AB97" s="213"/>
      <c r="AC97" s="213"/>
      <c r="AD97" s="213"/>
      <c r="AE97" s="213"/>
      <c r="AF97" s="213"/>
      <c r="AG97" s="213"/>
      <c r="AH97" s="213"/>
    </row>
    <row r="98" spans="4:35" ht="15" customHeight="1" x14ac:dyDescent="0.3">
      <c r="AA98" s="213"/>
      <c r="AB98" s="213" t="s">
        <v>397</v>
      </c>
      <c r="AC98" s="212">
        <v>4700</v>
      </c>
      <c r="AD98" s="213"/>
      <c r="AE98" s="222" t="s">
        <v>393</v>
      </c>
      <c r="AF98" s="213"/>
      <c r="AG98" s="213"/>
      <c r="AH98" s="213"/>
    </row>
    <row r="99" spans="4:35" x14ac:dyDescent="0.3">
      <c r="AA99" s="213"/>
      <c r="AB99" s="213" t="s">
        <v>398</v>
      </c>
      <c r="AC99" s="212">
        <v>6700</v>
      </c>
      <c r="AD99" s="213"/>
      <c r="AE99" s="213" t="s">
        <v>394</v>
      </c>
      <c r="AF99" s="213"/>
      <c r="AG99" s="213"/>
      <c r="AH99" s="213"/>
    </row>
    <row r="100" spans="4:35" x14ac:dyDescent="0.3">
      <c r="AA100" s="213"/>
      <c r="AB100" s="213" t="s">
        <v>4</v>
      </c>
      <c r="AC100" s="212">
        <v>0</v>
      </c>
      <c r="AD100" s="213"/>
      <c r="AE100" s="213" t="s">
        <v>400</v>
      </c>
      <c r="AF100" s="213"/>
      <c r="AG100" s="213"/>
      <c r="AH100" s="213"/>
    </row>
    <row r="102" spans="4:35" ht="15.6" x14ac:dyDescent="0.3">
      <c r="AA102" s="253" t="s">
        <v>395</v>
      </c>
      <c r="AB102" s="213"/>
      <c r="AC102" s="213"/>
      <c r="AD102" s="213"/>
      <c r="AE102" s="213"/>
      <c r="AF102" s="213"/>
      <c r="AG102" s="213"/>
      <c r="AH102" s="213"/>
    </row>
    <row r="103" spans="4:35" x14ac:dyDescent="0.3">
      <c r="AA103" s="213" t="s">
        <v>490</v>
      </c>
      <c r="AB103" s="213"/>
      <c r="AC103" s="213"/>
      <c r="AD103" s="213"/>
      <c r="AE103" s="213"/>
      <c r="AF103" s="213"/>
      <c r="AG103" s="213"/>
      <c r="AH103" s="213"/>
    </row>
    <row r="104" spans="4:35" x14ac:dyDescent="0.3">
      <c r="AA104" s="213"/>
      <c r="AB104" s="213"/>
      <c r="AC104" s="213"/>
      <c r="AD104" s="212"/>
      <c r="AE104" s="213"/>
      <c r="AF104" s="213"/>
      <c r="AG104" s="213"/>
      <c r="AH104" s="213"/>
    </row>
    <row r="105" spans="4:35" x14ac:dyDescent="0.3">
      <c r="AA105" s="213"/>
      <c r="AB105" s="213"/>
      <c r="AC105" s="213"/>
      <c r="AD105" s="212"/>
      <c r="AE105" s="213"/>
      <c r="AF105" s="213"/>
      <c r="AG105" s="213"/>
      <c r="AH105" s="213"/>
    </row>
    <row r="106" spans="4:35" x14ac:dyDescent="0.3">
      <c r="AB106" t="s">
        <v>1</v>
      </c>
      <c r="AD106" s="141" t="s">
        <v>1</v>
      </c>
    </row>
    <row r="107" spans="4:35" x14ac:dyDescent="0.3">
      <c r="AA107" s="230" t="s">
        <v>401</v>
      </c>
      <c r="AB107" s="213"/>
      <c r="AC107" s="213"/>
      <c r="AD107" s="212"/>
      <c r="AE107" s="213"/>
      <c r="AF107" s="213"/>
      <c r="AG107" s="213"/>
      <c r="AH107" s="213"/>
      <c r="AI107" s="213"/>
    </row>
    <row r="108" spans="4:35" x14ac:dyDescent="0.3">
      <c r="AA108" s="213" t="s">
        <v>403</v>
      </c>
      <c r="AB108" s="213"/>
      <c r="AC108" s="213"/>
      <c r="AD108" s="213"/>
      <c r="AE108" s="213"/>
      <c r="AF108" s="213"/>
      <c r="AG108" s="213"/>
      <c r="AH108" s="213"/>
      <c r="AI108" s="213"/>
    </row>
    <row r="109" spans="4:35" x14ac:dyDescent="0.3">
      <c r="AA109" s="213" t="s">
        <v>402</v>
      </c>
      <c r="AB109" s="213"/>
      <c r="AC109" s="213"/>
      <c r="AD109" s="213"/>
      <c r="AE109" s="213"/>
      <c r="AF109" s="213"/>
      <c r="AG109" s="213"/>
      <c r="AH109" s="213"/>
      <c r="AI109" s="213"/>
    </row>
    <row r="110" spans="4:35" x14ac:dyDescent="0.3">
      <c r="AA110" s="240">
        <v>40</v>
      </c>
      <c r="AB110" s="213" t="s">
        <v>378</v>
      </c>
      <c r="AC110" s="212">
        <v>800</v>
      </c>
      <c r="AD110" s="213"/>
      <c r="AE110" s="213"/>
      <c r="AF110" s="213"/>
      <c r="AG110" s="213"/>
      <c r="AH110" s="213"/>
      <c r="AI110" s="213"/>
    </row>
    <row r="111" spans="4:35" x14ac:dyDescent="0.3">
      <c r="AA111" s="240">
        <v>50</v>
      </c>
      <c r="AB111" s="213" t="s">
        <v>378</v>
      </c>
      <c r="AC111" s="212">
        <v>800</v>
      </c>
      <c r="AD111" s="213"/>
      <c r="AE111" s="213"/>
      <c r="AF111" s="213"/>
      <c r="AG111" s="213"/>
      <c r="AH111" s="213"/>
      <c r="AI111" s="213"/>
    </row>
    <row r="112" spans="4:35" x14ac:dyDescent="0.3">
      <c r="AA112" s="240">
        <v>60</v>
      </c>
      <c r="AB112" s="213" t="s">
        <v>378</v>
      </c>
      <c r="AC112" s="212">
        <v>800</v>
      </c>
      <c r="AD112" s="213"/>
      <c r="AE112" s="213"/>
      <c r="AF112" s="213"/>
      <c r="AG112" s="213"/>
      <c r="AH112" s="213"/>
      <c r="AI112" s="213"/>
    </row>
    <row r="113" spans="27:35" x14ac:dyDescent="0.3">
      <c r="AA113" s="240">
        <v>70</v>
      </c>
      <c r="AB113" s="213" t="s">
        <v>378</v>
      </c>
      <c r="AC113" s="212">
        <v>800</v>
      </c>
      <c r="AD113" s="213"/>
      <c r="AE113" s="213"/>
      <c r="AF113" s="213"/>
      <c r="AG113" s="213"/>
      <c r="AH113" s="213"/>
      <c r="AI113" s="213"/>
    </row>
    <row r="114" spans="27:35" x14ac:dyDescent="0.3">
      <c r="AA114" s="240">
        <v>80</v>
      </c>
      <c r="AB114" s="213" t="s">
        <v>378</v>
      </c>
      <c r="AC114" s="212">
        <v>800</v>
      </c>
      <c r="AD114" s="213"/>
      <c r="AE114" s="213"/>
      <c r="AF114" s="213"/>
      <c r="AG114" s="213"/>
      <c r="AH114" s="213"/>
      <c r="AI114" s="213"/>
    </row>
    <row r="115" spans="27:35" x14ac:dyDescent="0.3">
      <c r="AA115" s="240">
        <v>100</v>
      </c>
      <c r="AB115" s="213" t="s">
        <v>378</v>
      </c>
      <c r="AC115" s="212">
        <v>800</v>
      </c>
      <c r="AD115" s="213"/>
      <c r="AE115" s="213"/>
      <c r="AF115" s="213"/>
      <c r="AG115" s="213"/>
      <c r="AH115" s="213"/>
      <c r="AI115" s="213"/>
    </row>
    <row r="116" spans="27:35" x14ac:dyDescent="0.3">
      <c r="AA116" s="240">
        <v>125</v>
      </c>
      <c r="AB116" s="213" t="s">
        <v>378</v>
      </c>
      <c r="AC116" s="212">
        <v>800</v>
      </c>
      <c r="AD116" s="213"/>
      <c r="AE116" s="213"/>
      <c r="AF116" s="213"/>
      <c r="AG116" s="213"/>
      <c r="AH116" s="213"/>
      <c r="AI116" s="213"/>
    </row>
    <row r="117" spans="27:35" x14ac:dyDescent="0.3">
      <c r="AA117" s="240">
        <v>150</v>
      </c>
      <c r="AB117" s="213" t="s">
        <v>378</v>
      </c>
      <c r="AC117" s="212">
        <v>800</v>
      </c>
      <c r="AD117" s="213"/>
      <c r="AE117" s="213"/>
      <c r="AF117" s="213"/>
      <c r="AG117" s="213"/>
      <c r="AH117" s="213"/>
      <c r="AI117" s="213"/>
    </row>
    <row r="118" spans="27:35" x14ac:dyDescent="0.3">
      <c r="AA118" s="240">
        <v>175</v>
      </c>
      <c r="AB118" s="213" t="s">
        <v>378</v>
      </c>
      <c r="AC118" s="212">
        <v>800</v>
      </c>
      <c r="AD118" s="213"/>
      <c r="AE118" s="213"/>
      <c r="AF118" s="213"/>
      <c r="AG118" s="213"/>
      <c r="AH118" s="213"/>
      <c r="AI118" s="213"/>
    </row>
    <row r="119" spans="27:35" x14ac:dyDescent="0.3">
      <c r="AA119" s="240">
        <v>200</v>
      </c>
      <c r="AB119" s="213" t="s">
        <v>378</v>
      </c>
      <c r="AC119" s="212">
        <v>1200</v>
      </c>
      <c r="AD119" s="213"/>
      <c r="AE119" s="213"/>
      <c r="AF119" s="213"/>
      <c r="AG119" s="213"/>
      <c r="AH119" s="213"/>
      <c r="AI119" s="213"/>
    </row>
    <row r="120" spans="27:35" x14ac:dyDescent="0.3">
      <c r="AA120" s="240">
        <v>238</v>
      </c>
      <c r="AB120" s="213" t="s">
        <v>378</v>
      </c>
      <c r="AC120" s="212">
        <v>1200</v>
      </c>
      <c r="AD120" s="213"/>
      <c r="AE120" s="213"/>
      <c r="AF120" s="213"/>
      <c r="AG120" s="213"/>
      <c r="AH120" s="213"/>
      <c r="AI120" s="213"/>
    </row>
    <row r="121" spans="27:35" ht="15" customHeight="1" x14ac:dyDescent="0.3">
      <c r="AA121" s="240">
        <v>250</v>
      </c>
      <c r="AB121" s="213" t="s">
        <v>378</v>
      </c>
      <c r="AC121" s="212">
        <v>1200</v>
      </c>
      <c r="AD121" s="213"/>
      <c r="AE121" s="213"/>
      <c r="AF121" s="213"/>
      <c r="AG121" s="213"/>
      <c r="AH121" s="213"/>
      <c r="AI121" s="213"/>
    </row>
    <row r="122" spans="27:35" x14ac:dyDescent="0.3">
      <c r="AA122" s="240">
        <v>300</v>
      </c>
      <c r="AB122" s="213" t="s">
        <v>378</v>
      </c>
      <c r="AC122" s="212">
        <v>1200</v>
      </c>
      <c r="AD122" s="213"/>
      <c r="AE122" s="213"/>
      <c r="AF122" s="213"/>
      <c r="AG122" s="213"/>
      <c r="AH122" s="213"/>
      <c r="AI122" s="213"/>
    </row>
    <row r="123" spans="27:35" x14ac:dyDescent="0.3">
      <c r="AA123" s="240">
        <v>350</v>
      </c>
      <c r="AB123" s="213" t="s">
        <v>378</v>
      </c>
      <c r="AC123" s="212">
        <v>1200</v>
      </c>
      <c r="AD123" s="213"/>
      <c r="AE123" s="213"/>
      <c r="AF123" s="213"/>
      <c r="AG123" s="213"/>
      <c r="AH123" s="213"/>
      <c r="AI123" s="213"/>
    </row>
    <row r="124" spans="27:35" x14ac:dyDescent="0.3">
      <c r="AA124" s="240">
        <v>400</v>
      </c>
      <c r="AB124" s="213" t="s">
        <v>378</v>
      </c>
      <c r="AC124" s="212">
        <v>1200</v>
      </c>
      <c r="AD124" s="213"/>
      <c r="AE124" s="213"/>
      <c r="AF124" s="213"/>
      <c r="AG124" s="213"/>
      <c r="AH124" s="213"/>
      <c r="AI124" s="213"/>
    </row>
    <row r="125" spans="27:35" x14ac:dyDescent="0.3">
      <c r="AA125" s="240">
        <v>500</v>
      </c>
      <c r="AB125" s="213" t="s">
        <v>378</v>
      </c>
      <c r="AC125" s="212">
        <v>2200</v>
      </c>
      <c r="AD125" s="213"/>
      <c r="AE125" s="213"/>
      <c r="AF125" s="213"/>
      <c r="AG125" s="213"/>
      <c r="AH125" s="213"/>
      <c r="AI125" s="213"/>
    </row>
    <row r="126" spans="27:35" x14ac:dyDescent="0.3">
      <c r="AA126" s="240">
        <v>600</v>
      </c>
      <c r="AB126" s="213" t="s">
        <v>378</v>
      </c>
      <c r="AC126" s="212">
        <v>2200</v>
      </c>
      <c r="AD126" s="213"/>
      <c r="AE126" s="213"/>
      <c r="AF126" s="213"/>
      <c r="AG126" s="213"/>
      <c r="AH126" s="213"/>
      <c r="AI126" s="213"/>
    </row>
    <row r="127" spans="27:35" x14ac:dyDescent="0.3">
      <c r="AA127" s="240">
        <v>700</v>
      </c>
      <c r="AB127" s="213" t="s">
        <v>378</v>
      </c>
      <c r="AC127" s="212">
        <v>2200</v>
      </c>
      <c r="AD127" s="213"/>
      <c r="AE127" s="213"/>
      <c r="AF127" s="213"/>
      <c r="AG127" s="213"/>
      <c r="AH127" s="213"/>
      <c r="AI127" s="213"/>
    </row>
    <row r="128" spans="27:35" x14ac:dyDescent="0.3">
      <c r="AA128" s="240">
        <v>800</v>
      </c>
      <c r="AB128" s="213" t="s">
        <v>378</v>
      </c>
      <c r="AC128" s="212">
        <v>2200</v>
      </c>
      <c r="AD128" s="213"/>
      <c r="AE128" s="213"/>
      <c r="AF128" s="213"/>
      <c r="AG128" s="213"/>
      <c r="AH128" s="213"/>
      <c r="AI128" s="213"/>
    </row>
    <row r="129" spans="27:35" x14ac:dyDescent="0.3">
      <c r="AA129" s="240">
        <v>900</v>
      </c>
      <c r="AB129" s="213" t="s">
        <v>378</v>
      </c>
      <c r="AC129" s="212">
        <v>2200</v>
      </c>
      <c r="AD129" s="213"/>
      <c r="AE129" s="213"/>
      <c r="AF129" s="213"/>
      <c r="AG129" s="213"/>
      <c r="AH129" s="213"/>
      <c r="AI129" s="213"/>
    </row>
    <row r="130" spans="27:35" x14ac:dyDescent="0.3">
      <c r="AA130" s="240">
        <v>40</v>
      </c>
      <c r="AB130" s="213" t="s">
        <v>379</v>
      </c>
      <c r="AC130" s="212">
        <v>2000</v>
      </c>
      <c r="AD130" s="213"/>
      <c r="AE130" s="213"/>
      <c r="AF130" s="213"/>
      <c r="AG130" s="213"/>
      <c r="AH130" s="213"/>
      <c r="AI130" s="213"/>
    </row>
    <row r="131" spans="27:35" x14ac:dyDescent="0.3">
      <c r="AA131" s="240">
        <v>50</v>
      </c>
      <c r="AB131" s="213" t="s">
        <v>379</v>
      </c>
      <c r="AC131" s="212">
        <v>2000</v>
      </c>
      <c r="AD131" s="213"/>
      <c r="AE131" s="213"/>
      <c r="AF131" s="213"/>
      <c r="AG131" s="213"/>
      <c r="AH131" s="213"/>
      <c r="AI131" s="213"/>
    </row>
    <row r="132" spans="27:35" x14ac:dyDescent="0.3">
      <c r="AA132" s="240">
        <v>60</v>
      </c>
      <c r="AB132" s="213" t="s">
        <v>379</v>
      </c>
      <c r="AC132" s="212">
        <v>2000</v>
      </c>
      <c r="AD132" s="213"/>
      <c r="AE132" s="213"/>
      <c r="AF132" s="213"/>
      <c r="AG132" s="213"/>
      <c r="AH132" s="213"/>
      <c r="AI132" s="213"/>
    </row>
    <row r="133" spans="27:35" x14ac:dyDescent="0.3">
      <c r="AA133" s="240">
        <v>70</v>
      </c>
      <c r="AB133" s="213" t="s">
        <v>379</v>
      </c>
      <c r="AC133" s="212">
        <v>2000</v>
      </c>
      <c r="AD133" s="213"/>
      <c r="AE133" s="213"/>
      <c r="AF133" s="213"/>
      <c r="AG133" s="213"/>
      <c r="AH133" s="213"/>
      <c r="AI133" s="213"/>
    </row>
    <row r="134" spans="27:35" x14ac:dyDescent="0.3">
      <c r="AA134" s="240">
        <v>80</v>
      </c>
      <c r="AB134" s="213" t="s">
        <v>379</v>
      </c>
      <c r="AC134" s="212">
        <v>2000</v>
      </c>
      <c r="AD134" s="213"/>
      <c r="AE134" s="213"/>
      <c r="AF134" s="213"/>
      <c r="AG134" s="213"/>
      <c r="AH134" s="213"/>
      <c r="AI134" s="213"/>
    </row>
    <row r="135" spans="27:35" x14ac:dyDescent="0.3">
      <c r="AA135" s="240">
        <v>100</v>
      </c>
      <c r="AB135" s="213" t="s">
        <v>379</v>
      </c>
      <c r="AC135" s="212">
        <v>2000</v>
      </c>
      <c r="AD135" s="213"/>
      <c r="AE135" s="213"/>
      <c r="AF135" s="213"/>
      <c r="AG135" s="213"/>
      <c r="AH135" s="213"/>
      <c r="AI135" s="213"/>
    </row>
    <row r="136" spans="27:35" ht="15" customHeight="1" x14ac:dyDescent="0.3">
      <c r="AA136" s="240">
        <v>125</v>
      </c>
      <c r="AB136" s="213" t="s">
        <v>379</v>
      </c>
      <c r="AC136" s="212">
        <v>2000</v>
      </c>
      <c r="AD136" s="213"/>
      <c r="AE136" s="213"/>
      <c r="AF136" s="213"/>
      <c r="AG136" s="213"/>
      <c r="AH136" s="213"/>
      <c r="AI136" s="213"/>
    </row>
    <row r="137" spans="27:35" x14ac:dyDescent="0.3">
      <c r="AA137" s="240">
        <v>150</v>
      </c>
      <c r="AB137" s="213" t="s">
        <v>379</v>
      </c>
      <c r="AC137" s="212">
        <v>2000</v>
      </c>
      <c r="AD137" s="213"/>
      <c r="AE137" s="213"/>
      <c r="AF137" s="213"/>
      <c r="AG137" s="213"/>
      <c r="AH137" s="213"/>
      <c r="AI137" s="213"/>
    </row>
    <row r="138" spans="27:35" x14ac:dyDescent="0.3">
      <c r="AA138" s="240">
        <v>175</v>
      </c>
      <c r="AB138" s="213" t="s">
        <v>379</v>
      </c>
      <c r="AC138" s="212">
        <v>2000</v>
      </c>
      <c r="AD138" s="213"/>
      <c r="AE138" s="213"/>
      <c r="AF138" s="213"/>
      <c r="AG138" s="213"/>
      <c r="AH138" s="213"/>
      <c r="AI138" s="213"/>
    </row>
    <row r="139" spans="27:35" x14ac:dyDescent="0.3">
      <c r="AA139" s="240">
        <v>200</v>
      </c>
      <c r="AB139" s="213" t="s">
        <v>379</v>
      </c>
      <c r="AC139" s="212">
        <v>2800</v>
      </c>
      <c r="AD139" s="213"/>
      <c r="AE139" s="213"/>
      <c r="AF139" s="213"/>
      <c r="AG139" s="213"/>
      <c r="AH139" s="213"/>
      <c r="AI139" s="213"/>
    </row>
    <row r="140" spans="27:35" x14ac:dyDescent="0.3">
      <c r="AA140" s="240">
        <v>238</v>
      </c>
      <c r="AB140" s="213" t="s">
        <v>379</v>
      </c>
      <c r="AC140" s="212">
        <v>2800</v>
      </c>
      <c r="AD140" s="213"/>
      <c r="AE140" s="213"/>
      <c r="AF140" s="213"/>
      <c r="AG140" s="213"/>
      <c r="AH140" s="213"/>
      <c r="AI140" s="213"/>
    </row>
    <row r="141" spans="27:35" x14ac:dyDescent="0.3">
      <c r="AA141" s="240">
        <v>250</v>
      </c>
      <c r="AB141" s="213" t="s">
        <v>379</v>
      </c>
      <c r="AC141" s="212">
        <v>2800</v>
      </c>
      <c r="AD141" s="213"/>
      <c r="AE141" s="213"/>
      <c r="AF141" s="213"/>
      <c r="AG141" s="213"/>
      <c r="AH141" s="213"/>
      <c r="AI141" s="213"/>
    </row>
    <row r="142" spans="27:35" x14ac:dyDescent="0.3">
      <c r="AA142" s="240">
        <v>300</v>
      </c>
      <c r="AB142" s="213" t="s">
        <v>379</v>
      </c>
      <c r="AC142" s="212">
        <v>2800</v>
      </c>
      <c r="AD142" s="213"/>
      <c r="AE142" s="213"/>
      <c r="AF142" s="213"/>
      <c r="AG142" s="213"/>
      <c r="AH142" s="213"/>
      <c r="AI142" s="213"/>
    </row>
    <row r="143" spans="27:35" x14ac:dyDescent="0.3">
      <c r="AA143" s="240">
        <v>350</v>
      </c>
      <c r="AB143" s="213" t="s">
        <v>379</v>
      </c>
      <c r="AC143" s="212">
        <v>2800</v>
      </c>
      <c r="AD143" s="213"/>
      <c r="AE143" s="213"/>
      <c r="AF143" s="213"/>
      <c r="AG143" s="213"/>
      <c r="AH143" s="213"/>
      <c r="AI143" s="213"/>
    </row>
    <row r="144" spans="27:35" x14ac:dyDescent="0.3">
      <c r="AA144" s="240">
        <v>400</v>
      </c>
      <c r="AB144" s="213" t="s">
        <v>379</v>
      </c>
      <c r="AC144" s="212">
        <v>2800</v>
      </c>
      <c r="AD144" s="213"/>
      <c r="AE144" s="213"/>
      <c r="AF144" s="213"/>
      <c r="AG144" s="213"/>
      <c r="AH144" s="213"/>
      <c r="AI144" s="213"/>
    </row>
    <row r="145" spans="27:35" x14ac:dyDescent="0.3">
      <c r="AA145" s="240">
        <v>500</v>
      </c>
      <c r="AB145" s="213" t="s">
        <v>379</v>
      </c>
      <c r="AC145" s="212">
        <v>4000</v>
      </c>
      <c r="AD145" s="213"/>
      <c r="AE145" s="213"/>
      <c r="AF145" s="213"/>
      <c r="AG145" s="213"/>
      <c r="AH145" s="213"/>
      <c r="AI145" s="213"/>
    </row>
    <row r="146" spans="27:35" x14ac:dyDescent="0.3">
      <c r="AA146" s="240">
        <v>600</v>
      </c>
      <c r="AB146" s="213" t="s">
        <v>379</v>
      </c>
      <c r="AC146" s="212">
        <v>4000</v>
      </c>
      <c r="AD146" s="213"/>
      <c r="AE146" s="213"/>
      <c r="AF146" s="213"/>
      <c r="AG146" s="213"/>
      <c r="AH146" s="213"/>
      <c r="AI146" s="213"/>
    </row>
    <row r="147" spans="27:35" x14ac:dyDescent="0.3">
      <c r="AA147" s="240">
        <v>700</v>
      </c>
      <c r="AB147" s="213" t="s">
        <v>379</v>
      </c>
      <c r="AC147" s="212">
        <v>4000</v>
      </c>
      <c r="AD147" s="213"/>
      <c r="AE147" s="213"/>
      <c r="AF147" s="213"/>
      <c r="AG147" s="213"/>
      <c r="AH147" s="213"/>
      <c r="AI147" s="213"/>
    </row>
    <row r="148" spans="27:35" x14ac:dyDescent="0.3">
      <c r="AA148" s="240">
        <v>800</v>
      </c>
      <c r="AB148" s="213" t="s">
        <v>379</v>
      </c>
      <c r="AC148" s="212">
        <v>4000</v>
      </c>
      <c r="AD148" s="213"/>
      <c r="AE148" s="213"/>
      <c r="AF148" s="213"/>
      <c r="AG148" s="213"/>
      <c r="AH148" s="213"/>
      <c r="AI148" s="213"/>
    </row>
    <row r="149" spans="27:35" x14ac:dyDescent="0.3">
      <c r="AA149" s="240">
        <v>900</v>
      </c>
      <c r="AB149" s="213" t="s">
        <v>379</v>
      </c>
      <c r="AC149" s="212">
        <v>4000</v>
      </c>
      <c r="AD149" s="213"/>
      <c r="AE149" s="213"/>
      <c r="AF149" s="213"/>
      <c r="AG149" s="213"/>
      <c r="AH149" s="213"/>
      <c r="AI149" s="213"/>
    </row>
    <row r="152" spans="27:35" ht="15.6" x14ac:dyDescent="0.3">
      <c r="AA152" s="217" t="s">
        <v>404</v>
      </c>
      <c r="AB152" s="213"/>
      <c r="AC152" s="213"/>
      <c r="AD152" s="213"/>
      <c r="AE152" s="213"/>
      <c r="AF152" s="213"/>
      <c r="AG152" s="213"/>
      <c r="AH152" s="213"/>
      <c r="AI152" s="213"/>
    </row>
    <row r="153" spans="27:35" ht="15" thickBot="1" x14ac:dyDescent="0.35">
      <c r="AA153" s="213"/>
      <c r="AB153" s="213"/>
      <c r="AC153" s="213"/>
      <c r="AD153" s="213"/>
      <c r="AE153" s="213"/>
      <c r="AF153" s="213"/>
      <c r="AG153" s="213"/>
      <c r="AH153" s="213"/>
      <c r="AI153" s="213"/>
    </row>
    <row r="154" spans="27:35" ht="15" thickBot="1" x14ac:dyDescent="0.35">
      <c r="AA154" s="213"/>
      <c r="AB154" s="213"/>
      <c r="AC154" s="218" t="s">
        <v>405</v>
      </c>
      <c r="AD154" s="249" t="s">
        <v>211</v>
      </c>
      <c r="AE154" s="213"/>
      <c r="AF154" s="213"/>
      <c r="AG154" s="213"/>
      <c r="AH154" s="213"/>
      <c r="AI154" s="213"/>
    </row>
    <row r="155" spans="27:35" ht="15" thickTop="1" x14ac:dyDescent="0.3">
      <c r="AA155" s="213"/>
      <c r="AB155" s="213"/>
      <c r="AC155" s="250" t="s">
        <v>406</v>
      </c>
      <c r="AD155" s="221">
        <v>75</v>
      </c>
      <c r="AE155" s="213"/>
      <c r="AF155" s="213"/>
      <c r="AG155" s="213"/>
      <c r="AH155" s="213"/>
      <c r="AI155" s="213"/>
    </row>
    <row r="156" spans="27:35" ht="15" thickBot="1" x14ac:dyDescent="0.35">
      <c r="AA156" s="213"/>
      <c r="AB156" s="213"/>
      <c r="AC156" s="251" t="s">
        <v>407</v>
      </c>
      <c r="AD156" s="225">
        <v>100</v>
      </c>
      <c r="AE156" s="213"/>
      <c r="AF156" s="213"/>
      <c r="AG156" s="213"/>
      <c r="AH156" s="213"/>
      <c r="AI156" s="213"/>
    </row>
    <row r="157" spans="27:35" x14ac:dyDescent="0.3">
      <c r="AA157" s="213"/>
      <c r="AB157" s="213"/>
      <c r="AC157" s="229"/>
      <c r="AD157" s="229"/>
      <c r="AE157" s="213"/>
      <c r="AF157" s="213"/>
      <c r="AG157" s="213"/>
      <c r="AH157" s="213"/>
      <c r="AI157" s="213"/>
    </row>
    <row r="158" spans="27:35" x14ac:dyDescent="0.3">
      <c r="AA158" s="213"/>
      <c r="AB158" s="213" t="s">
        <v>5</v>
      </c>
      <c r="AC158" s="212">
        <v>100</v>
      </c>
      <c r="AD158" s="213"/>
      <c r="AE158" s="213"/>
      <c r="AF158" s="213"/>
      <c r="AG158" s="213"/>
      <c r="AH158" s="213"/>
      <c r="AI158" s="213"/>
    </row>
    <row r="161" spans="23:35" ht="18" x14ac:dyDescent="0.35">
      <c r="AA161" s="211" t="s">
        <v>410</v>
      </c>
      <c r="AB161" s="213"/>
      <c r="AC161" s="213"/>
      <c r="AD161" s="213"/>
      <c r="AE161" s="213"/>
      <c r="AF161" s="213"/>
      <c r="AG161" s="213"/>
      <c r="AH161" s="213"/>
      <c r="AI161" s="213"/>
    </row>
    <row r="162" spans="23:35" x14ac:dyDescent="0.3">
      <c r="AA162" s="333" t="s">
        <v>411</v>
      </c>
      <c r="AB162" s="333"/>
      <c r="AC162" s="333"/>
      <c r="AD162" s="333"/>
      <c r="AE162" s="333"/>
      <c r="AF162" s="333"/>
      <c r="AG162" s="333"/>
      <c r="AH162" s="333"/>
      <c r="AI162" s="213"/>
    </row>
    <row r="163" spans="23:35" x14ac:dyDescent="0.3">
      <c r="Z163" t="s">
        <v>418</v>
      </c>
      <c r="AA163" s="333"/>
      <c r="AB163" s="333"/>
      <c r="AC163" s="333"/>
      <c r="AD163" s="333"/>
      <c r="AE163" s="333"/>
      <c r="AF163" s="333"/>
      <c r="AG163" s="333"/>
      <c r="AH163" s="333"/>
      <c r="AI163" s="213"/>
    </row>
    <row r="164" spans="23:35" x14ac:dyDescent="0.3">
      <c r="AA164" s="333"/>
      <c r="AB164" s="333"/>
      <c r="AC164" s="333"/>
      <c r="AD164" s="333"/>
      <c r="AE164" s="333"/>
      <c r="AF164" s="333"/>
      <c r="AG164" s="333"/>
      <c r="AH164" s="333"/>
      <c r="AI164" s="213"/>
    </row>
    <row r="165" spans="23:35" x14ac:dyDescent="0.3">
      <c r="AA165" s="333"/>
      <c r="AB165" s="333"/>
      <c r="AC165" s="333"/>
      <c r="AD165" s="333"/>
      <c r="AE165" s="333"/>
      <c r="AF165" s="333"/>
      <c r="AG165" s="333"/>
      <c r="AH165" s="333"/>
      <c r="AI165" s="213"/>
    </row>
    <row r="166" spans="23:35" x14ac:dyDescent="0.3">
      <c r="AA166" s="213"/>
      <c r="AB166" s="213"/>
      <c r="AC166" s="213"/>
      <c r="AD166" s="213"/>
      <c r="AE166" s="213"/>
      <c r="AF166" s="213"/>
      <c r="AG166" s="213"/>
      <c r="AH166" s="213"/>
      <c r="AI166" s="213"/>
    </row>
    <row r="167" spans="23:35" x14ac:dyDescent="0.3">
      <c r="AA167" s="213" t="s">
        <v>40</v>
      </c>
      <c r="AB167" s="213">
        <v>15</v>
      </c>
      <c r="AC167" s="212">
        <v>1500</v>
      </c>
      <c r="AD167" s="213"/>
      <c r="AE167" s="213"/>
      <c r="AF167" s="213"/>
      <c r="AG167" s="213"/>
      <c r="AH167" s="213"/>
      <c r="AI167" s="213"/>
    </row>
    <row r="168" spans="23:35" x14ac:dyDescent="0.3">
      <c r="W168" s="263"/>
      <c r="X168" s="263"/>
      <c r="Y168" s="263"/>
      <c r="AA168" s="213" t="s">
        <v>40</v>
      </c>
      <c r="AB168" s="213">
        <v>150</v>
      </c>
      <c r="AC168" s="212">
        <v>1500</v>
      </c>
      <c r="AD168" s="213"/>
      <c r="AE168" s="213"/>
      <c r="AF168" s="213"/>
      <c r="AG168" s="213"/>
      <c r="AH168" s="213"/>
      <c r="AI168" s="213"/>
    </row>
    <row r="169" spans="23:35" x14ac:dyDescent="0.3">
      <c r="W169" s="263"/>
      <c r="X169" s="263"/>
      <c r="Y169" s="263"/>
      <c r="AA169" s="213" t="s">
        <v>40</v>
      </c>
      <c r="AB169" s="213">
        <v>200</v>
      </c>
      <c r="AC169" s="212">
        <v>1500</v>
      </c>
      <c r="AD169" s="213"/>
      <c r="AE169" s="213"/>
      <c r="AF169" s="213"/>
      <c r="AG169" s="213"/>
      <c r="AH169" s="213"/>
      <c r="AI169" s="213"/>
    </row>
    <row r="170" spans="23:35" x14ac:dyDescent="0.3">
      <c r="AA170" s="213" t="s">
        <v>40</v>
      </c>
      <c r="AB170" s="213">
        <v>250</v>
      </c>
      <c r="AC170" s="212">
        <v>1500</v>
      </c>
      <c r="AD170" s="213"/>
      <c r="AE170" s="213"/>
      <c r="AF170" s="213"/>
      <c r="AG170" s="213"/>
      <c r="AH170" s="213"/>
      <c r="AI170" s="213"/>
    </row>
    <row r="171" spans="23:35" x14ac:dyDescent="0.3">
      <c r="AA171" s="213" t="s">
        <v>40</v>
      </c>
      <c r="AB171" s="213">
        <v>300</v>
      </c>
      <c r="AC171" s="212">
        <v>1500</v>
      </c>
      <c r="AD171" s="213"/>
      <c r="AE171" s="213"/>
      <c r="AF171" s="213"/>
      <c r="AG171" s="213"/>
      <c r="AH171" s="213"/>
      <c r="AI171" s="213"/>
    </row>
    <row r="172" spans="23:35" x14ac:dyDescent="0.3">
      <c r="AA172" s="213" t="s">
        <v>39</v>
      </c>
      <c r="AB172" s="213">
        <v>15</v>
      </c>
      <c r="AC172" s="212">
        <v>1000</v>
      </c>
      <c r="AD172" s="213"/>
      <c r="AE172" s="213"/>
      <c r="AF172" s="213"/>
      <c r="AG172" s="213"/>
      <c r="AH172" s="213"/>
      <c r="AI172" s="213"/>
    </row>
    <row r="173" spans="23:35" x14ac:dyDescent="0.3">
      <c r="AA173" s="213" t="s">
        <v>39</v>
      </c>
      <c r="AB173" s="213">
        <v>150</v>
      </c>
      <c r="AC173" s="212">
        <v>1000</v>
      </c>
      <c r="AD173" s="213"/>
      <c r="AE173" s="213"/>
      <c r="AF173" s="213"/>
      <c r="AG173" s="213"/>
      <c r="AH173" s="213"/>
      <c r="AI173" s="213"/>
    </row>
    <row r="174" spans="23:35" x14ac:dyDescent="0.3">
      <c r="AA174" s="213" t="s">
        <v>39</v>
      </c>
      <c r="AB174" s="213">
        <v>200</v>
      </c>
      <c r="AC174" s="212">
        <v>1000</v>
      </c>
      <c r="AD174" s="213"/>
      <c r="AE174" s="213"/>
      <c r="AF174" s="213"/>
      <c r="AG174" s="213"/>
      <c r="AH174" s="213"/>
      <c r="AI174" s="213"/>
    </row>
    <row r="175" spans="23:35" x14ac:dyDescent="0.3">
      <c r="AA175" s="213" t="s">
        <v>39</v>
      </c>
      <c r="AB175" s="213">
        <v>250</v>
      </c>
      <c r="AC175" s="212">
        <v>1000</v>
      </c>
      <c r="AD175" s="213"/>
      <c r="AE175" s="213"/>
      <c r="AF175" s="213"/>
      <c r="AG175" s="213"/>
      <c r="AH175" s="213"/>
      <c r="AI175" s="213"/>
    </row>
    <row r="176" spans="23:35" x14ac:dyDescent="0.3">
      <c r="AA176" s="213" t="s">
        <v>39</v>
      </c>
      <c r="AB176" s="213">
        <v>300</v>
      </c>
      <c r="AC176" s="212">
        <v>4500</v>
      </c>
      <c r="AD176" s="213"/>
      <c r="AE176" s="213"/>
      <c r="AF176" s="213"/>
      <c r="AG176" s="213"/>
      <c r="AH176" s="213"/>
      <c r="AI176" s="213"/>
    </row>
    <row r="180" spans="27:35" ht="15.6" x14ac:dyDescent="0.3">
      <c r="AA180" s="213"/>
      <c r="AB180" s="217" t="s">
        <v>412</v>
      </c>
      <c r="AC180" s="254"/>
      <c r="AD180" s="229"/>
      <c r="AE180" s="229"/>
      <c r="AF180" s="229"/>
      <c r="AG180" s="254"/>
      <c r="AH180" s="213"/>
      <c r="AI180" s="213"/>
    </row>
    <row r="181" spans="27:35" x14ac:dyDescent="0.3">
      <c r="AA181" s="334" t="s">
        <v>413</v>
      </c>
      <c r="AB181" s="334"/>
      <c r="AC181" s="334"/>
      <c r="AD181" s="334"/>
      <c r="AE181" s="334"/>
      <c r="AF181" s="334"/>
      <c r="AG181" s="334"/>
      <c r="AH181" s="334"/>
      <c r="AI181" s="213"/>
    </row>
    <row r="182" spans="27:35" x14ac:dyDescent="0.3">
      <c r="AA182" s="334"/>
      <c r="AB182" s="334"/>
      <c r="AC182" s="334"/>
      <c r="AD182" s="334"/>
      <c r="AE182" s="334"/>
      <c r="AF182" s="334"/>
      <c r="AG182" s="334"/>
      <c r="AH182" s="334"/>
      <c r="AI182" s="213"/>
    </row>
    <row r="183" spans="27:35" x14ac:dyDescent="0.3">
      <c r="AA183" s="334"/>
      <c r="AB183" s="334"/>
      <c r="AC183" s="334"/>
      <c r="AD183" s="334"/>
      <c r="AE183" s="334"/>
      <c r="AF183" s="334"/>
      <c r="AG183" s="334"/>
      <c r="AH183" s="334"/>
      <c r="AI183" s="213"/>
    </row>
    <row r="184" spans="27:35" x14ac:dyDescent="0.3">
      <c r="AA184" s="213"/>
      <c r="AB184" s="213"/>
      <c r="AC184" s="213"/>
      <c r="AD184" s="213"/>
      <c r="AE184" s="213"/>
      <c r="AF184" s="213"/>
      <c r="AG184" s="213"/>
      <c r="AH184" s="213"/>
      <c r="AI184" s="213"/>
    </row>
    <row r="185" spans="27:35" ht="28.8" x14ac:dyDescent="0.3">
      <c r="AA185" s="264" t="s">
        <v>257</v>
      </c>
      <c r="AB185" s="265" t="s">
        <v>423</v>
      </c>
      <c r="AC185" s="213"/>
      <c r="AD185" s="213"/>
      <c r="AE185" s="213"/>
      <c r="AF185" s="213"/>
      <c r="AG185" s="213"/>
      <c r="AH185" s="213"/>
      <c r="AI185" s="213"/>
    </row>
    <row r="186" spans="27:35" x14ac:dyDescent="0.3">
      <c r="AA186" s="254">
        <v>40</v>
      </c>
      <c r="AB186" s="212">
        <v>1550</v>
      </c>
      <c r="AC186" s="213"/>
      <c r="AD186" s="213"/>
      <c r="AE186" s="213"/>
      <c r="AF186" s="213"/>
      <c r="AG186" s="213"/>
      <c r="AH186" s="213"/>
      <c r="AI186" s="213"/>
    </row>
    <row r="187" spans="27:35" x14ac:dyDescent="0.3">
      <c r="AA187" s="254">
        <v>50</v>
      </c>
      <c r="AB187" s="212">
        <v>1800</v>
      </c>
      <c r="AC187" s="213"/>
      <c r="AD187" s="213"/>
      <c r="AE187" s="213"/>
      <c r="AF187" s="213"/>
      <c r="AG187" s="213"/>
      <c r="AH187" s="213"/>
      <c r="AI187" s="213"/>
    </row>
    <row r="188" spans="27:35" x14ac:dyDescent="0.3">
      <c r="AA188" s="254">
        <v>60</v>
      </c>
      <c r="AB188" s="212">
        <v>2000</v>
      </c>
      <c r="AC188" s="213"/>
      <c r="AD188" s="213"/>
      <c r="AE188" s="213"/>
      <c r="AF188" s="213"/>
      <c r="AG188" s="213"/>
      <c r="AH188" s="213"/>
      <c r="AI188" s="213"/>
    </row>
    <row r="189" spans="27:35" x14ac:dyDescent="0.3">
      <c r="AA189" s="254">
        <v>70</v>
      </c>
      <c r="AB189" s="212">
        <v>2000</v>
      </c>
      <c r="AC189" s="213"/>
      <c r="AD189" s="213"/>
      <c r="AE189" s="213"/>
      <c r="AF189" s="213"/>
      <c r="AG189" s="213"/>
      <c r="AH189" s="213"/>
      <c r="AI189" s="213"/>
    </row>
    <row r="190" spans="27:35" x14ac:dyDescent="0.3">
      <c r="AA190" s="254">
        <v>80</v>
      </c>
      <c r="AB190" s="212">
        <v>2250</v>
      </c>
      <c r="AC190" s="213"/>
      <c r="AD190" s="213"/>
      <c r="AE190" s="213"/>
      <c r="AF190" s="213"/>
      <c r="AG190" s="213"/>
      <c r="AH190" s="213"/>
      <c r="AI190" s="213"/>
    </row>
    <row r="191" spans="27:35" x14ac:dyDescent="0.3">
      <c r="AA191" s="254">
        <v>100</v>
      </c>
      <c r="AB191" s="212">
        <v>2250</v>
      </c>
      <c r="AC191" s="213"/>
      <c r="AD191" s="213"/>
      <c r="AE191" s="213"/>
      <c r="AF191" s="213"/>
      <c r="AG191" s="213"/>
      <c r="AH191" s="213"/>
      <c r="AI191" s="213"/>
    </row>
    <row r="192" spans="27:35" x14ac:dyDescent="0.3">
      <c r="AA192" s="254">
        <v>125</v>
      </c>
      <c r="AB192" s="212">
        <v>2250</v>
      </c>
      <c r="AC192" s="213"/>
      <c r="AD192" s="213"/>
      <c r="AE192" s="213"/>
      <c r="AF192" s="213"/>
      <c r="AG192" s="213"/>
      <c r="AH192" s="213"/>
      <c r="AI192" s="213"/>
    </row>
    <row r="193" spans="27:35" x14ac:dyDescent="0.3">
      <c r="AA193" s="254">
        <v>150</v>
      </c>
      <c r="AB193" s="212">
        <v>2250</v>
      </c>
      <c r="AC193" s="213"/>
      <c r="AD193" s="213"/>
      <c r="AE193" s="213"/>
      <c r="AF193" s="213"/>
      <c r="AG193" s="213"/>
      <c r="AH193" s="213"/>
      <c r="AI193" s="213"/>
    </row>
    <row r="194" spans="27:35" x14ac:dyDescent="0.3">
      <c r="AA194" s="254">
        <v>200</v>
      </c>
      <c r="AB194" s="212">
        <v>2500</v>
      </c>
      <c r="AC194" s="213"/>
      <c r="AD194" s="213"/>
      <c r="AE194" s="213"/>
      <c r="AF194" s="213"/>
      <c r="AG194" s="213"/>
      <c r="AH194" s="213"/>
      <c r="AI194" s="213"/>
    </row>
    <row r="195" spans="27:35" x14ac:dyDescent="0.3">
      <c r="AA195" s="254">
        <v>238</v>
      </c>
      <c r="AB195" s="212">
        <v>5000</v>
      </c>
      <c r="AC195" s="213"/>
      <c r="AD195" s="213"/>
      <c r="AE195" s="213"/>
      <c r="AF195" s="213"/>
      <c r="AG195" s="213"/>
      <c r="AH195" s="213"/>
      <c r="AI195" s="213"/>
    </row>
    <row r="196" spans="27:35" x14ac:dyDescent="0.3">
      <c r="AA196" s="254">
        <v>250</v>
      </c>
      <c r="AB196" s="212">
        <v>5000</v>
      </c>
      <c r="AC196" s="213"/>
      <c r="AD196" s="213"/>
      <c r="AE196" s="213"/>
      <c r="AF196" s="213"/>
      <c r="AG196" s="213"/>
      <c r="AH196" s="213"/>
      <c r="AI196" s="213"/>
    </row>
    <row r="197" spans="27:35" x14ac:dyDescent="0.3">
      <c r="AA197" s="254">
        <v>300</v>
      </c>
      <c r="AB197" s="212">
        <v>5000</v>
      </c>
      <c r="AC197" s="213"/>
      <c r="AD197" s="213"/>
      <c r="AE197" s="213"/>
      <c r="AF197" s="213"/>
      <c r="AG197" s="213"/>
      <c r="AH197" s="213"/>
      <c r="AI197" s="213"/>
    </row>
    <row r="198" spans="27:35" x14ac:dyDescent="0.3">
      <c r="AA198" s="254">
        <v>350</v>
      </c>
      <c r="AB198" s="212">
        <v>5000</v>
      </c>
      <c r="AC198" s="213"/>
      <c r="AD198" s="213"/>
      <c r="AE198" s="213"/>
      <c r="AF198" s="213"/>
      <c r="AG198" s="213"/>
      <c r="AH198" s="213"/>
      <c r="AI198" s="213"/>
    </row>
    <row r="199" spans="27:35" x14ac:dyDescent="0.3">
      <c r="AA199" s="254">
        <v>400</v>
      </c>
      <c r="AB199" s="212">
        <v>6800</v>
      </c>
      <c r="AC199" s="213"/>
      <c r="AD199" s="213"/>
      <c r="AE199" s="213"/>
      <c r="AF199" s="213"/>
      <c r="AG199" s="213"/>
      <c r="AH199" s="213"/>
      <c r="AI199" s="213"/>
    </row>
    <row r="200" spans="27:35" x14ac:dyDescent="0.3">
      <c r="AA200" s="254">
        <v>500</v>
      </c>
      <c r="AB200" s="212">
        <v>6800</v>
      </c>
      <c r="AC200" s="213"/>
      <c r="AD200" s="213"/>
      <c r="AE200" s="213"/>
      <c r="AF200" s="213"/>
      <c r="AG200" s="213"/>
      <c r="AH200" s="213"/>
      <c r="AI200" s="213"/>
    </row>
    <row r="201" spans="27:35" x14ac:dyDescent="0.3">
      <c r="AA201" s="254">
        <v>600</v>
      </c>
      <c r="AB201" s="212">
        <v>6800</v>
      </c>
      <c r="AC201" s="213"/>
      <c r="AD201" s="213"/>
      <c r="AE201" s="213"/>
      <c r="AF201" s="213"/>
      <c r="AG201" s="213"/>
      <c r="AH201" s="213"/>
      <c r="AI201" s="213"/>
    </row>
    <row r="202" spans="27:35" x14ac:dyDescent="0.3">
      <c r="AA202" s="254">
        <v>700</v>
      </c>
      <c r="AB202" s="212">
        <v>6800</v>
      </c>
      <c r="AC202" s="213"/>
      <c r="AD202" s="213"/>
      <c r="AE202" s="213"/>
      <c r="AF202" s="213"/>
      <c r="AG202" s="213"/>
      <c r="AH202" s="213"/>
      <c r="AI202" s="213"/>
    </row>
    <row r="203" spans="27:35" x14ac:dyDescent="0.3">
      <c r="AA203" s="254">
        <v>800</v>
      </c>
      <c r="AB203" s="212">
        <v>7300</v>
      </c>
      <c r="AC203" s="213"/>
      <c r="AD203" s="213"/>
      <c r="AE203" s="213"/>
      <c r="AF203" s="213"/>
      <c r="AG203" s="213"/>
      <c r="AH203" s="213"/>
      <c r="AI203" s="213"/>
    </row>
    <row r="204" spans="27:35" x14ac:dyDescent="0.3">
      <c r="AA204" s="254">
        <v>900</v>
      </c>
      <c r="AB204" s="212">
        <v>7300</v>
      </c>
      <c r="AC204" s="213"/>
      <c r="AD204" s="213"/>
      <c r="AE204" s="213"/>
      <c r="AF204" s="213"/>
      <c r="AG204" s="213"/>
      <c r="AH204" s="213"/>
      <c r="AI204" s="213"/>
    </row>
    <row r="205" spans="27:35" x14ac:dyDescent="0.3">
      <c r="AB205" s="141"/>
    </row>
    <row r="207" spans="27:35" ht="18" x14ac:dyDescent="0.35">
      <c r="AA207" s="142" t="s">
        <v>426</v>
      </c>
    </row>
    <row r="208" spans="27:35" x14ac:dyDescent="0.3">
      <c r="AB208" t="s">
        <v>427</v>
      </c>
    </row>
    <row r="209" spans="27:34" x14ac:dyDescent="0.3">
      <c r="AA209" s="332" t="s">
        <v>428</v>
      </c>
      <c r="AB209" s="332"/>
      <c r="AC209" s="332"/>
      <c r="AD209" s="332"/>
      <c r="AE209" s="332"/>
      <c r="AF209" s="332"/>
      <c r="AG209" s="332"/>
      <c r="AH209" s="332"/>
    </row>
    <row r="210" spans="27:34" x14ac:dyDescent="0.3">
      <c r="AA210" s="332"/>
      <c r="AB210" s="332"/>
      <c r="AC210" s="332"/>
      <c r="AD210" s="332"/>
      <c r="AE210" s="332"/>
      <c r="AF210" s="332"/>
      <c r="AG210" s="332"/>
      <c r="AH210" s="332"/>
    </row>
    <row r="213" spans="27:34" x14ac:dyDescent="0.3">
      <c r="AA213" t="s">
        <v>442</v>
      </c>
    </row>
    <row r="225" spans="13:31" x14ac:dyDescent="0.3">
      <c r="AB225" t="s">
        <v>446</v>
      </c>
    </row>
    <row r="227" spans="13:31" x14ac:dyDescent="0.3">
      <c r="T227" t="s">
        <v>443</v>
      </c>
    </row>
    <row r="228" spans="13:31" x14ac:dyDescent="0.3">
      <c r="N228" t="s">
        <v>470</v>
      </c>
      <c r="T228" t="s">
        <v>464</v>
      </c>
    </row>
    <row r="229" spans="13:31" x14ac:dyDescent="0.3">
      <c r="T229" t="s">
        <v>450</v>
      </c>
    </row>
    <row r="230" spans="13:31" ht="28.8" x14ac:dyDescent="0.3">
      <c r="M230" t="s">
        <v>475</v>
      </c>
      <c r="N230" s="268" t="s">
        <v>468</v>
      </c>
      <c r="O230" s="268" t="s">
        <v>469</v>
      </c>
      <c r="P230" t="s">
        <v>467</v>
      </c>
      <c r="R230" t="s">
        <v>472</v>
      </c>
      <c r="S230" t="s">
        <v>257</v>
      </c>
      <c r="T230" s="145" t="s">
        <v>168</v>
      </c>
      <c r="U230" s="125" t="s">
        <v>449</v>
      </c>
      <c r="V230" s="125" t="s">
        <v>447</v>
      </c>
      <c r="W230" s="125" t="s">
        <v>150</v>
      </c>
      <c r="Z230" s="125" t="s">
        <v>1</v>
      </c>
    </row>
    <row r="231" spans="13:31" ht="15" thickBot="1" x14ac:dyDescent="0.35">
      <c r="M231">
        <v>1</v>
      </c>
      <c r="N231">
        <v>10</v>
      </c>
      <c r="O231" s="301">
        <v>1540</v>
      </c>
      <c r="P231">
        <v>2.5</v>
      </c>
      <c r="R231" t="str">
        <f>S231&amp;T231</f>
        <v>4015</v>
      </c>
      <c r="S231" s="145">
        <v>40</v>
      </c>
      <c r="T231" s="145">
        <v>15</v>
      </c>
      <c r="U231" s="286">
        <v>1380</v>
      </c>
      <c r="V231" s="145">
        <v>6</v>
      </c>
    </row>
    <row r="232" spans="13:31" x14ac:dyDescent="0.3">
      <c r="M232">
        <v>2</v>
      </c>
      <c r="N232">
        <v>50</v>
      </c>
      <c r="O232" s="301">
        <v>2420</v>
      </c>
      <c r="P232">
        <v>2.5</v>
      </c>
      <c r="R232" t="str">
        <f t="shared" ref="R232:R295" si="2">S232&amp;T232</f>
        <v>5015</v>
      </c>
      <c r="S232" s="145">
        <v>50</v>
      </c>
      <c r="T232" s="145">
        <v>15</v>
      </c>
      <c r="U232" s="286">
        <v>1725</v>
      </c>
      <c r="V232" s="145">
        <v>6</v>
      </c>
      <c r="Y232" s="302" t="s">
        <v>466</v>
      </c>
      <c r="Z232" s="303"/>
      <c r="AA232" s="303"/>
      <c r="AB232" s="303"/>
      <c r="AC232" s="303"/>
      <c r="AD232" s="303"/>
      <c r="AE232" s="304"/>
    </row>
    <row r="233" spans="13:31" ht="57.6" x14ac:dyDescent="0.3">
      <c r="M233">
        <v>3</v>
      </c>
      <c r="N233">
        <v>120</v>
      </c>
      <c r="O233" s="301">
        <v>3520</v>
      </c>
      <c r="P233">
        <v>2.5</v>
      </c>
      <c r="R233" t="str">
        <f t="shared" si="2"/>
        <v>6015</v>
      </c>
      <c r="S233" s="145">
        <v>60</v>
      </c>
      <c r="T233" s="145">
        <v>15</v>
      </c>
      <c r="U233" s="286">
        <v>2070</v>
      </c>
      <c r="V233" s="145">
        <v>6</v>
      </c>
      <c r="Y233" s="35" t="s">
        <v>257</v>
      </c>
      <c r="Z233" s="268" t="s">
        <v>151</v>
      </c>
      <c r="AA233" s="268" t="s">
        <v>447</v>
      </c>
      <c r="AB233" s="268" t="s">
        <v>150</v>
      </c>
      <c r="AC233" s="125" t="s">
        <v>449</v>
      </c>
      <c r="AD233" s="268" t="s">
        <v>468</v>
      </c>
      <c r="AE233" s="305" t="s">
        <v>471</v>
      </c>
    </row>
    <row r="234" spans="13:31" x14ac:dyDescent="0.3">
      <c r="M234">
        <v>4</v>
      </c>
      <c r="N234">
        <v>250</v>
      </c>
      <c r="O234" s="301">
        <v>4840</v>
      </c>
      <c r="P234">
        <v>2.5</v>
      </c>
      <c r="R234" t="str">
        <f t="shared" si="2"/>
        <v>7015</v>
      </c>
      <c r="S234" s="145">
        <v>70</v>
      </c>
      <c r="T234" s="145">
        <v>15</v>
      </c>
      <c r="U234" s="286">
        <v>2415</v>
      </c>
      <c r="V234" s="145">
        <v>8</v>
      </c>
      <c r="Y234" s="35">
        <f>'Data Entry'!D20</f>
        <v>600</v>
      </c>
      <c r="Z234">
        <f>'Data Entry'!D39</f>
        <v>150</v>
      </c>
      <c r="AA234">
        <f>VLOOKUP(Y234&amp;Z234,R231:V325,5,FALSE)</f>
        <v>8</v>
      </c>
      <c r="AB234">
        <f>'Data Entry'!D41</f>
        <v>100</v>
      </c>
      <c r="AC234" s="306">
        <f>'S-Series Quote'!L13</f>
        <v>20700</v>
      </c>
      <c r="AD234">
        <f>VLOOKUP(AD235,M231:N266,2,FALSE)</f>
        <v>120</v>
      </c>
      <c r="AE234" s="32" cm="1">
        <f t="array" ref="AE234">_xlfn.XLOOKUP(0,ABS(O231:O266-AC234&amp;N231:N266-AD234),P231:P266,,1)</f>
        <v>6</v>
      </c>
    </row>
    <row r="235" spans="13:31" x14ac:dyDescent="0.3">
      <c r="M235">
        <v>1</v>
      </c>
      <c r="N235">
        <v>10</v>
      </c>
      <c r="O235" s="301">
        <v>2200</v>
      </c>
      <c r="P235">
        <v>3</v>
      </c>
      <c r="R235" t="str">
        <f t="shared" si="2"/>
        <v>8015</v>
      </c>
      <c r="S235" s="145">
        <v>80</v>
      </c>
      <c r="T235" s="145">
        <v>15</v>
      </c>
      <c r="U235" s="286">
        <v>2760</v>
      </c>
      <c r="V235" s="145">
        <v>8</v>
      </c>
      <c r="Y235" s="35"/>
      <c r="AD235" cm="1">
        <f t="array" ref="AD235">MATCH(MIN(ABS(N231:N266-AB234)),ABS(N231:N266-AB234),0)</f>
        <v>3</v>
      </c>
      <c r="AE235" s="32" t="s">
        <v>1</v>
      </c>
    </row>
    <row r="236" spans="13:31" x14ac:dyDescent="0.3">
      <c r="M236">
        <v>2</v>
      </c>
      <c r="N236">
        <v>50</v>
      </c>
      <c r="O236" s="301">
        <v>3520</v>
      </c>
      <c r="P236">
        <v>3</v>
      </c>
      <c r="R236" t="str">
        <f t="shared" si="2"/>
        <v>10015</v>
      </c>
      <c r="S236" s="145">
        <v>100</v>
      </c>
      <c r="T236" s="145">
        <v>15</v>
      </c>
      <c r="U236" s="286">
        <v>3450</v>
      </c>
      <c r="V236" s="145">
        <v>8</v>
      </c>
      <c r="Y236" s="35"/>
      <c r="AA236" s="38" t="s">
        <v>473</v>
      </c>
      <c r="AB236" s="38" t="str">
        <f>AA234&amp;"x"&amp;AE234</f>
        <v>8x6</v>
      </c>
      <c r="AC236" s="308">
        <f>VLOOKUP(AB236,AA238:AB246,2,FALSE)</f>
        <v>18515</v>
      </c>
      <c r="AE236" s="32"/>
    </row>
    <row r="237" spans="13:31" x14ac:dyDescent="0.3">
      <c r="M237">
        <v>3</v>
      </c>
      <c r="N237">
        <v>120</v>
      </c>
      <c r="O237" s="301">
        <v>4840</v>
      </c>
      <c r="P237">
        <v>3</v>
      </c>
      <c r="R237" t="str">
        <f t="shared" si="2"/>
        <v>12515</v>
      </c>
      <c r="S237" s="145">
        <v>125</v>
      </c>
      <c r="T237" s="145">
        <v>15</v>
      </c>
      <c r="U237" s="286">
        <v>4313</v>
      </c>
      <c r="V237" s="145">
        <v>8</v>
      </c>
      <c r="Y237" s="35" t="s">
        <v>473</v>
      </c>
      <c r="Z237" t="s">
        <v>474</v>
      </c>
      <c r="AE237" s="32"/>
    </row>
    <row r="238" spans="13:31" x14ac:dyDescent="0.3">
      <c r="M238">
        <v>4</v>
      </c>
      <c r="N238">
        <v>250</v>
      </c>
      <c r="O238" s="301">
        <v>7150</v>
      </c>
      <c r="P238">
        <v>3</v>
      </c>
      <c r="R238" t="str">
        <f t="shared" si="2"/>
        <v>15015</v>
      </c>
      <c r="S238" s="145">
        <v>150</v>
      </c>
      <c r="T238" s="145">
        <v>15</v>
      </c>
      <c r="U238" s="286">
        <v>5175</v>
      </c>
      <c r="V238" s="145">
        <v>8</v>
      </c>
      <c r="Y238" s="35">
        <v>6</v>
      </c>
      <c r="Z238">
        <v>3</v>
      </c>
      <c r="AA238" s="38" t="str">
        <f>Y238&amp;"x"&amp;Z238</f>
        <v>6x3</v>
      </c>
      <c r="AB238" s="308">
        <f>1700+1300+115+8900</f>
        <v>12015</v>
      </c>
      <c r="AE238" s="32"/>
    </row>
    <row r="239" spans="13:31" x14ac:dyDescent="0.3">
      <c r="M239">
        <v>1</v>
      </c>
      <c r="N239">
        <v>10</v>
      </c>
      <c r="O239" s="301">
        <v>3740</v>
      </c>
      <c r="P239">
        <v>4</v>
      </c>
      <c r="R239" t="str">
        <f t="shared" si="2"/>
        <v>17515</v>
      </c>
      <c r="S239" s="145">
        <v>175</v>
      </c>
      <c r="T239" s="145">
        <v>15</v>
      </c>
      <c r="U239" s="286">
        <v>6038</v>
      </c>
      <c r="V239" s="145">
        <v>10</v>
      </c>
      <c r="Y239" s="35">
        <v>6</v>
      </c>
      <c r="Z239">
        <v>4</v>
      </c>
      <c r="AA239" s="38" t="str">
        <f t="shared" ref="AA239:AA246" si="3">Y239&amp;"x"&amp;Z239</f>
        <v>6x4</v>
      </c>
      <c r="AB239" s="308">
        <f>1900+1300+115+7800+2800</f>
        <v>13915</v>
      </c>
      <c r="AE239" s="32"/>
    </row>
    <row r="240" spans="13:31" x14ac:dyDescent="0.3">
      <c r="M240">
        <v>2</v>
      </c>
      <c r="N240">
        <v>50</v>
      </c>
      <c r="O240" s="301">
        <v>5940</v>
      </c>
      <c r="P240">
        <v>4</v>
      </c>
      <c r="R240" t="str">
        <f t="shared" si="2"/>
        <v>20015</v>
      </c>
      <c r="S240" s="145">
        <v>200</v>
      </c>
      <c r="T240" s="145">
        <v>15</v>
      </c>
      <c r="U240" s="286">
        <v>6900</v>
      </c>
      <c r="V240" s="145">
        <v>10</v>
      </c>
      <c r="Y240" s="35">
        <v>8</v>
      </c>
      <c r="Z240">
        <v>3</v>
      </c>
      <c r="AA240" s="38" t="str">
        <f t="shared" si="3"/>
        <v>8x3</v>
      </c>
      <c r="AB240" s="308">
        <f>2000+1300+115+8900</f>
        <v>12315</v>
      </c>
      <c r="AE240" s="32"/>
    </row>
    <row r="241" spans="13:31" x14ac:dyDescent="0.3">
      <c r="M241">
        <v>3</v>
      </c>
      <c r="N241">
        <v>120</v>
      </c>
      <c r="O241" s="301">
        <v>8250</v>
      </c>
      <c r="P241">
        <v>4</v>
      </c>
      <c r="R241" t="str">
        <f t="shared" si="2"/>
        <v>25015</v>
      </c>
      <c r="S241" s="145">
        <v>250</v>
      </c>
      <c r="T241" s="145">
        <v>15</v>
      </c>
      <c r="U241" s="286">
        <v>8625</v>
      </c>
      <c r="V241" s="145">
        <v>10</v>
      </c>
      <c r="Y241" s="35">
        <v>8</v>
      </c>
      <c r="Z241">
        <v>4</v>
      </c>
      <c r="AA241" s="38" t="str">
        <f t="shared" si="3"/>
        <v>8x4</v>
      </c>
      <c r="AB241" s="308">
        <f>2300+1300+115+7800+2800</f>
        <v>14315</v>
      </c>
      <c r="AE241" s="32"/>
    </row>
    <row r="242" spans="13:31" x14ac:dyDescent="0.3">
      <c r="M242">
        <v>4</v>
      </c>
      <c r="N242">
        <v>250</v>
      </c>
      <c r="O242" s="301">
        <v>11550</v>
      </c>
      <c r="P242">
        <v>4</v>
      </c>
      <c r="R242" t="str">
        <f t="shared" si="2"/>
        <v>30015</v>
      </c>
      <c r="S242" s="145">
        <v>300</v>
      </c>
      <c r="T242" s="145">
        <v>15</v>
      </c>
      <c r="U242" s="286">
        <v>10350</v>
      </c>
      <c r="V242" s="145">
        <v>12</v>
      </c>
      <c r="Y242" s="35">
        <v>8</v>
      </c>
      <c r="Z242">
        <v>6</v>
      </c>
      <c r="AA242" s="38" t="str">
        <f t="shared" si="3"/>
        <v>8x6</v>
      </c>
      <c r="AB242" s="308">
        <f>2400+1500+115+14500</f>
        <v>18515</v>
      </c>
      <c r="AE242" s="32"/>
    </row>
    <row r="243" spans="13:31" x14ac:dyDescent="0.3">
      <c r="M243">
        <v>1</v>
      </c>
      <c r="N243">
        <v>10</v>
      </c>
      <c r="O243" s="301">
        <v>9900</v>
      </c>
      <c r="P243">
        <v>6</v>
      </c>
      <c r="R243" t="str">
        <f t="shared" si="2"/>
        <v>35015</v>
      </c>
      <c r="S243" s="145">
        <v>350</v>
      </c>
      <c r="T243" s="145">
        <v>15</v>
      </c>
      <c r="U243" s="286">
        <v>12075</v>
      </c>
      <c r="V243" s="145">
        <v>12</v>
      </c>
      <c r="Y243" s="35">
        <v>10</v>
      </c>
      <c r="Z243">
        <v>6</v>
      </c>
      <c r="AA243" s="38" t="str">
        <f t="shared" si="3"/>
        <v>10x6</v>
      </c>
      <c r="AB243" s="308">
        <f>2800+3000+115+14500</f>
        <v>20415</v>
      </c>
      <c r="AE243" s="32"/>
    </row>
    <row r="244" spans="13:31" x14ac:dyDescent="0.3">
      <c r="M244">
        <v>2</v>
      </c>
      <c r="N244">
        <v>50</v>
      </c>
      <c r="O244" s="301">
        <v>15400</v>
      </c>
      <c r="P244">
        <v>6</v>
      </c>
      <c r="R244" t="str">
        <f t="shared" si="2"/>
        <v>40015</v>
      </c>
      <c r="S244" s="145">
        <v>400</v>
      </c>
      <c r="T244" s="145">
        <v>15</v>
      </c>
      <c r="U244" s="286">
        <v>13800</v>
      </c>
      <c r="V244" s="145">
        <v>12</v>
      </c>
      <c r="Y244" s="35">
        <v>10</v>
      </c>
      <c r="Z244">
        <v>8</v>
      </c>
      <c r="AA244" s="38" t="str">
        <f t="shared" si="3"/>
        <v>10x8</v>
      </c>
      <c r="AB244" s="308">
        <f>2800+2000+115+23700</f>
        <v>28615</v>
      </c>
      <c r="AE244" s="32"/>
    </row>
    <row r="245" spans="13:31" x14ac:dyDescent="0.3">
      <c r="M245">
        <v>3</v>
      </c>
      <c r="N245">
        <v>120</v>
      </c>
      <c r="O245" s="301">
        <v>23100</v>
      </c>
      <c r="P245">
        <v>6</v>
      </c>
      <c r="R245" t="str">
        <f t="shared" si="2"/>
        <v>50015</v>
      </c>
      <c r="S245" s="145">
        <v>500</v>
      </c>
      <c r="T245" s="145">
        <v>15</v>
      </c>
      <c r="U245" s="286">
        <v>17250</v>
      </c>
      <c r="V245" s="145">
        <v>12</v>
      </c>
      <c r="Y245" s="35">
        <v>12</v>
      </c>
      <c r="Z245">
        <v>8</v>
      </c>
      <c r="AA245" s="38" t="str">
        <f t="shared" si="3"/>
        <v>12x8</v>
      </c>
      <c r="AB245" s="308">
        <f>3500+2000+115+23700</f>
        <v>29315</v>
      </c>
      <c r="AE245" s="32"/>
    </row>
    <row r="246" spans="13:31" x14ac:dyDescent="0.3">
      <c r="M246">
        <v>4</v>
      </c>
      <c r="N246">
        <v>250</v>
      </c>
      <c r="O246" s="301">
        <v>33000</v>
      </c>
      <c r="P246">
        <v>6</v>
      </c>
      <c r="R246" t="str">
        <f t="shared" si="2"/>
        <v>60015</v>
      </c>
      <c r="S246" s="145">
        <v>600</v>
      </c>
      <c r="T246" s="145">
        <v>15</v>
      </c>
      <c r="U246" s="286">
        <v>20700</v>
      </c>
      <c r="V246" s="145">
        <v>12</v>
      </c>
      <c r="Y246" s="35">
        <v>12</v>
      </c>
      <c r="Z246">
        <v>10</v>
      </c>
      <c r="AA246" s="38" t="str">
        <f t="shared" si="3"/>
        <v>12x10</v>
      </c>
      <c r="AB246" s="308" t="s">
        <v>479</v>
      </c>
      <c r="AE246" s="32"/>
    </row>
    <row r="247" spans="13:31" x14ac:dyDescent="0.3">
      <c r="M247">
        <v>1</v>
      </c>
      <c r="N247">
        <v>10</v>
      </c>
      <c r="O247" s="301">
        <v>16500</v>
      </c>
      <c r="P247">
        <v>8</v>
      </c>
      <c r="R247" t="str">
        <f t="shared" si="2"/>
        <v>70015</v>
      </c>
      <c r="S247" s="145">
        <v>700</v>
      </c>
      <c r="T247" s="145">
        <v>15</v>
      </c>
      <c r="U247" s="286">
        <v>24150</v>
      </c>
      <c r="V247" s="145">
        <v>12</v>
      </c>
      <c r="Y247" s="35"/>
      <c r="AE247" s="32"/>
    </row>
    <row r="248" spans="13:31" x14ac:dyDescent="0.3">
      <c r="M248">
        <v>2</v>
      </c>
      <c r="N248">
        <v>50</v>
      </c>
      <c r="O248" s="301">
        <v>27500</v>
      </c>
      <c r="P248">
        <v>8</v>
      </c>
      <c r="R248" t="str">
        <f t="shared" si="2"/>
        <v>80015</v>
      </c>
      <c r="S248" s="145">
        <v>800</v>
      </c>
      <c r="T248" s="145">
        <v>15</v>
      </c>
      <c r="U248" s="286">
        <v>27600</v>
      </c>
      <c r="V248" s="145">
        <v>14</v>
      </c>
      <c r="Y248" s="35"/>
      <c r="AE248" s="32"/>
    </row>
    <row r="249" spans="13:31" x14ac:dyDescent="0.3">
      <c r="M249">
        <v>3</v>
      </c>
      <c r="N249">
        <v>120</v>
      </c>
      <c r="O249" s="301">
        <v>38500</v>
      </c>
      <c r="P249">
        <v>8</v>
      </c>
      <c r="R249" t="str">
        <f t="shared" si="2"/>
        <v>90015</v>
      </c>
      <c r="S249" s="145">
        <v>900</v>
      </c>
      <c r="T249" s="145">
        <v>15</v>
      </c>
      <c r="U249" s="286">
        <v>31050</v>
      </c>
      <c r="V249" s="145">
        <v>14</v>
      </c>
      <c r="Y249" s="35"/>
      <c r="AE249" s="32"/>
    </row>
    <row r="250" spans="13:31" x14ac:dyDescent="0.3">
      <c r="M250">
        <v>4</v>
      </c>
      <c r="N250">
        <v>250</v>
      </c>
      <c r="O250" s="301">
        <v>55000</v>
      </c>
      <c r="P250">
        <v>8</v>
      </c>
      <c r="R250" t="str">
        <f t="shared" si="2"/>
        <v>40150</v>
      </c>
      <c r="S250" s="145">
        <v>40</v>
      </c>
      <c r="T250" s="145">
        <v>150</v>
      </c>
      <c r="U250" s="286">
        <v>1380</v>
      </c>
      <c r="V250" s="145">
        <v>3</v>
      </c>
      <c r="Y250" s="35"/>
      <c r="AE250" s="32"/>
    </row>
    <row r="251" spans="13:31" x14ac:dyDescent="0.3">
      <c r="M251">
        <v>1</v>
      </c>
      <c r="N251">
        <v>10</v>
      </c>
      <c r="O251" s="301">
        <v>27500</v>
      </c>
      <c r="P251">
        <v>10</v>
      </c>
      <c r="R251" t="str">
        <f t="shared" si="2"/>
        <v>50150</v>
      </c>
      <c r="S251" s="145">
        <v>50</v>
      </c>
      <c r="T251" s="145">
        <v>150</v>
      </c>
      <c r="U251" s="286">
        <v>1725</v>
      </c>
      <c r="V251" s="145">
        <v>3</v>
      </c>
      <c r="Y251" s="35"/>
      <c r="AE251" s="32"/>
    </row>
    <row r="252" spans="13:31" x14ac:dyDescent="0.3">
      <c r="M252">
        <v>2</v>
      </c>
      <c r="N252">
        <v>50</v>
      </c>
      <c r="O252" s="301">
        <v>44000</v>
      </c>
      <c r="P252">
        <v>10</v>
      </c>
      <c r="R252" t="str">
        <f t="shared" si="2"/>
        <v>60150</v>
      </c>
      <c r="S252" s="145">
        <v>60</v>
      </c>
      <c r="T252" s="145">
        <v>150</v>
      </c>
      <c r="U252" s="286">
        <v>2070</v>
      </c>
      <c r="V252" s="145">
        <v>3</v>
      </c>
      <c r="Y252" s="35"/>
      <c r="AE252" s="32"/>
    </row>
    <row r="253" spans="13:31" x14ac:dyDescent="0.3">
      <c r="M253">
        <v>3</v>
      </c>
      <c r="N253">
        <v>120</v>
      </c>
      <c r="O253" s="301">
        <v>63800</v>
      </c>
      <c r="P253">
        <v>10</v>
      </c>
      <c r="R253" t="str">
        <f t="shared" si="2"/>
        <v>70150</v>
      </c>
      <c r="S253" s="145">
        <v>70</v>
      </c>
      <c r="T253" s="145">
        <v>150</v>
      </c>
      <c r="U253" s="286">
        <v>2415</v>
      </c>
      <c r="V253" s="145">
        <v>3</v>
      </c>
      <c r="Y253" s="35"/>
      <c r="AE253" s="32"/>
    </row>
    <row r="254" spans="13:31" x14ac:dyDescent="0.3">
      <c r="M254">
        <v>4</v>
      </c>
      <c r="N254">
        <v>250</v>
      </c>
      <c r="O254" s="301">
        <v>88000</v>
      </c>
      <c r="P254">
        <v>10</v>
      </c>
      <c r="R254" t="str">
        <f t="shared" si="2"/>
        <v>80150</v>
      </c>
      <c r="S254" s="145">
        <v>80</v>
      </c>
      <c r="T254" s="145">
        <v>150</v>
      </c>
      <c r="U254" s="286">
        <v>2760</v>
      </c>
      <c r="V254" s="145">
        <v>3</v>
      </c>
      <c r="Y254" s="35"/>
      <c r="AE254" s="32"/>
    </row>
    <row r="255" spans="13:31" x14ac:dyDescent="0.3">
      <c r="M255">
        <v>1</v>
      </c>
      <c r="N255">
        <v>10</v>
      </c>
      <c r="O255" s="301">
        <v>16500</v>
      </c>
      <c r="P255">
        <v>6</v>
      </c>
      <c r="R255" t="str">
        <f t="shared" si="2"/>
        <v>100150</v>
      </c>
      <c r="S255" s="145">
        <v>100</v>
      </c>
      <c r="T255" s="145">
        <v>150</v>
      </c>
      <c r="U255" s="286">
        <v>3450</v>
      </c>
      <c r="V255" s="145">
        <v>4</v>
      </c>
      <c r="Y255" s="35"/>
      <c r="AE255" s="32"/>
    </row>
    <row r="256" spans="13:31" x14ac:dyDescent="0.3">
      <c r="M256">
        <v>2</v>
      </c>
      <c r="N256">
        <v>50</v>
      </c>
      <c r="O256" s="301">
        <v>25300</v>
      </c>
      <c r="P256">
        <v>6</v>
      </c>
      <c r="R256" t="str">
        <f t="shared" si="2"/>
        <v>125150</v>
      </c>
      <c r="S256" s="145">
        <v>125</v>
      </c>
      <c r="T256" s="145">
        <v>150</v>
      </c>
      <c r="U256" s="286">
        <v>4313</v>
      </c>
      <c r="V256" s="145">
        <v>4</v>
      </c>
      <c r="Y256" s="35"/>
      <c r="AE256" s="32"/>
    </row>
    <row r="257" spans="13:31" x14ac:dyDescent="0.3">
      <c r="M257">
        <v>3</v>
      </c>
      <c r="N257">
        <v>120</v>
      </c>
      <c r="O257" s="301">
        <v>37400</v>
      </c>
      <c r="P257">
        <v>6</v>
      </c>
      <c r="R257" t="str">
        <f t="shared" si="2"/>
        <v>150150</v>
      </c>
      <c r="S257" s="145">
        <v>150</v>
      </c>
      <c r="T257" s="145">
        <v>150</v>
      </c>
      <c r="U257" s="286">
        <v>5175</v>
      </c>
      <c r="V257" s="145">
        <v>4</v>
      </c>
      <c r="Y257" s="35"/>
      <c r="AE257" s="32"/>
    </row>
    <row r="258" spans="13:31" x14ac:dyDescent="0.3">
      <c r="M258">
        <v>4</v>
      </c>
      <c r="N258">
        <v>250</v>
      </c>
      <c r="O258" s="301">
        <v>51700</v>
      </c>
      <c r="P258">
        <v>6</v>
      </c>
      <c r="R258" t="str">
        <f t="shared" si="2"/>
        <v>175150</v>
      </c>
      <c r="S258" s="145">
        <v>175</v>
      </c>
      <c r="T258" s="145">
        <v>150</v>
      </c>
      <c r="U258" s="286">
        <v>6038</v>
      </c>
      <c r="V258" s="145">
        <v>6</v>
      </c>
      <c r="Y258" s="35"/>
      <c r="AE258" s="32"/>
    </row>
    <row r="259" spans="13:31" ht="15" thickBot="1" x14ac:dyDescent="0.35">
      <c r="M259">
        <v>1</v>
      </c>
      <c r="N259">
        <v>10</v>
      </c>
      <c r="O259" s="301">
        <v>29700</v>
      </c>
      <c r="P259">
        <v>8</v>
      </c>
      <c r="R259" t="str">
        <f t="shared" si="2"/>
        <v>200150</v>
      </c>
      <c r="S259" s="145">
        <v>200</v>
      </c>
      <c r="T259" s="145">
        <v>150</v>
      </c>
      <c r="U259" s="286">
        <v>6900</v>
      </c>
      <c r="V259" s="145">
        <v>6</v>
      </c>
      <c r="Y259" s="54"/>
      <c r="Z259" s="55"/>
      <c r="AA259" s="55"/>
      <c r="AB259" s="55"/>
      <c r="AC259" s="55"/>
      <c r="AD259" s="55"/>
      <c r="AE259" s="307"/>
    </row>
    <row r="260" spans="13:31" x14ac:dyDescent="0.3">
      <c r="M260">
        <v>2</v>
      </c>
      <c r="N260">
        <v>50</v>
      </c>
      <c r="O260" s="301">
        <v>46200</v>
      </c>
      <c r="P260">
        <v>8</v>
      </c>
      <c r="R260" t="str">
        <f t="shared" si="2"/>
        <v>250150</v>
      </c>
      <c r="S260" s="145">
        <v>250</v>
      </c>
      <c r="T260" s="145">
        <v>150</v>
      </c>
      <c r="U260" s="286">
        <v>8625</v>
      </c>
      <c r="V260" s="145">
        <v>6</v>
      </c>
    </row>
    <row r="261" spans="13:31" x14ac:dyDescent="0.3">
      <c r="M261">
        <v>3</v>
      </c>
      <c r="N261">
        <v>120</v>
      </c>
      <c r="O261" s="301">
        <v>66000</v>
      </c>
      <c r="P261">
        <v>8</v>
      </c>
      <c r="R261" t="str">
        <f t="shared" si="2"/>
        <v>300150</v>
      </c>
      <c r="S261" s="145">
        <v>300</v>
      </c>
      <c r="T261" s="145">
        <v>150</v>
      </c>
      <c r="U261" s="286">
        <v>10350</v>
      </c>
      <c r="V261" s="145">
        <v>6</v>
      </c>
    </row>
    <row r="262" spans="13:31" x14ac:dyDescent="0.3">
      <c r="M262">
        <v>4</v>
      </c>
      <c r="N262">
        <v>250</v>
      </c>
      <c r="O262" s="301">
        <v>93500</v>
      </c>
      <c r="P262">
        <v>8</v>
      </c>
      <c r="R262" t="str">
        <f t="shared" si="2"/>
        <v>350150</v>
      </c>
      <c r="S262" s="145">
        <v>350</v>
      </c>
      <c r="T262" s="145">
        <v>150</v>
      </c>
      <c r="U262" s="286">
        <v>12075</v>
      </c>
      <c r="V262" s="145">
        <v>8</v>
      </c>
    </row>
    <row r="263" spans="13:31" x14ac:dyDescent="0.3">
      <c r="M263">
        <v>1</v>
      </c>
      <c r="N263">
        <v>10</v>
      </c>
      <c r="O263" s="301">
        <v>48400</v>
      </c>
      <c r="P263">
        <v>10</v>
      </c>
      <c r="R263" t="str">
        <f t="shared" si="2"/>
        <v>400150</v>
      </c>
      <c r="S263" s="145">
        <v>400</v>
      </c>
      <c r="T263" s="145">
        <v>150</v>
      </c>
      <c r="U263" s="286">
        <v>13800</v>
      </c>
      <c r="V263" s="145">
        <v>8</v>
      </c>
    </row>
    <row r="264" spans="13:31" x14ac:dyDescent="0.3">
      <c r="M264">
        <v>2</v>
      </c>
      <c r="N264">
        <v>50</v>
      </c>
      <c r="O264" s="301">
        <v>77000</v>
      </c>
      <c r="P264">
        <v>10</v>
      </c>
      <c r="R264" t="str">
        <f t="shared" si="2"/>
        <v>500150</v>
      </c>
      <c r="S264" s="145">
        <v>500</v>
      </c>
      <c r="T264" s="145">
        <v>150</v>
      </c>
      <c r="U264" s="286">
        <v>17250</v>
      </c>
      <c r="V264" s="145">
        <v>8</v>
      </c>
    </row>
    <row r="265" spans="13:31" x14ac:dyDescent="0.3">
      <c r="M265">
        <v>3</v>
      </c>
      <c r="N265">
        <v>120</v>
      </c>
      <c r="O265" s="301">
        <v>104500</v>
      </c>
      <c r="P265">
        <v>10</v>
      </c>
      <c r="R265" t="str">
        <f t="shared" si="2"/>
        <v>600150</v>
      </c>
      <c r="S265" s="145">
        <v>600</v>
      </c>
      <c r="T265" s="145">
        <v>150</v>
      </c>
      <c r="U265" s="286">
        <v>20700</v>
      </c>
      <c r="V265" s="145">
        <v>8</v>
      </c>
    </row>
    <row r="266" spans="13:31" x14ac:dyDescent="0.3">
      <c r="M266">
        <v>4</v>
      </c>
      <c r="N266">
        <v>250</v>
      </c>
      <c r="O266" s="301">
        <v>154000</v>
      </c>
      <c r="P266">
        <v>10</v>
      </c>
      <c r="R266" t="str">
        <f t="shared" si="2"/>
        <v>700150</v>
      </c>
      <c r="S266" s="145">
        <v>700</v>
      </c>
      <c r="T266" s="145">
        <v>150</v>
      </c>
      <c r="U266" s="286">
        <v>24150</v>
      </c>
      <c r="V266" s="145">
        <v>8</v>
      </c>
    </row>
    <row r="267" spans="13:31" x14ac:dyDescent="0.3">
      <c r="R267" t="str">
        <f t="shared" si="2"/>
        <v>800150</v>
      </c>
      <c r="S267" s="145">
        <v>800</v>
      </c>
      <c r="T267" s="145">
        <v>150</v>
      </c>
      <c r="U267" s="286">
        <v>27600</v>
      </c>
      <c r="V267" s="145">
        <v>10</v>
      </c>
    </row>
    <row r="268" spans="13:31" x14ac:dyDescent="0.3">
      <c r="R268" t="str">
        <f t="shared" si="2"/>
        <v>900150</v>
      </c>
      <c r="S268" s="145">
        <v>900</v>
      </c>
      <c r="T268" s="145">
        <v>150</v>
      </c>
      <c r="U268" s="286">
        <v>31050</v>
      </c>
      <c r="V268" s="145">
        <v>10</v>
      </c>
    </row>
    <row r="269" spans="13:31" x14ac:dyDescent="0.3">
      <c r="R269" t="str">
        <f t="shared" si="2"/>
        <v>40200</v>
      </c>
      <c r="S269" s="145">
        <v>40</v>
      </c>
      <c r="T269" s="145">
        <v>200</v>
      </c>
      <c r="U269" s="286">
        <v>1380</v>
      </c>
      <c r="V269" s="145">
        <v>3</v>
      </c>
    </row>
    <row r="270" spans="13:31" x14ac:dyDescent="0.3">
      <c r="R270" t="str">
        <f t="shared" si="2"/>
        <v>50200</v>
      </c>
      <c r="S270" s="145">
        <v>50</v>
      </c>
      <c r="T270" s="145">
        <v>200</v>
      </c>
      <c r="U270" s="286">
        <v>1725</v>
      </c>
      <c r="V270" s="145">
        <v>3</v>
      </c>
    </row>
    <row r="271" spans="13:31" x14ac:dyDescent="0.3">
      <c r="R271" t="str">
        <f t="shared" si="2"/>
        <v>60200</v>
      </c>
      <c r="S271" s="145">
        <v>60</v>
      </c>
      <c r="T271" s="145">
        <v>200</v>
      </c>
      <c r="U271" s="286">
        <v>2070</v>
      </c>
      <c r="V271" s="145">
        <v>3</v>
      </c>
    </row>
    <row r="272" spans="13:31" x14ac:dyDescent="0.3">
      <c r="R272" t="str">
        <f t="shared" si="2"/>
        <v>70200</v>
      </c>
      <c r="S272" s="145">
        <v>70</v>
      </c>
      <c r="T272" s="145">
        <v>200</v>
      </c>
      <c r="U272" s="286">
        <v>2415</v>
      </c>
      <c r="V272" s="145">
        <v>3</v>
      </c>
    </row>
    <row r="273" spans="18:22" x14ac:dyDescent="0.3">
      <c r="R273" t="str">
        <f t="shared" si="2"/>
        <v>80200</v>
      </c>
      <c r="S273" s="145">
        <v>80</v>
      </c>
      <c r="T273" s="145">
        <v>200</v>
      </c>
      <c r="U273" s="286">
        <v>2760</v>
      </c>
      <c r="V273" s="145">
        <v>3</v>
      </c>
    </row>
    <row r="274" spans="18:22" x14ac:dyDescent="0.3">
      <c r="R274" t="str">
        <f t="shared" si="2"/>
        <v>100200</v>
      </c>
      <c r="S274" s="145">
        <v>100</v>
      </c>
      <c r="T274" s="145">
        <v>200</v>
      </c>
      <c r="U274" s="286">
        <v>3450</v>
      </c>
      <c r="V274" s="145">
        <v>4</v>
      </c>
    </row>
    <row r="275" spans="18:22" x14ac:dyDescent="0.3">
      <c r="R275" t="str">
        <f t="shared" si="2"/>
        <v>125200</v>
      </c>
      <c r="S275" s="145">
        <v>125</v>
      </c>
      <c r="T275" s="145">
        <v>200</v>
      </c>
      <c r="U275" s="286">
        <v>4313</v>
      </c>
      <c r="V275" s="145">
        <v>4</v>
      </c>
    </row>
    <row r="276" spans="18:22" x14ac:dyDescent="0.3">
      <c r="R276" t="str">
        <f t="shared" si="2"/>
        <v>150200</v>
      </c>
      <c r="S276" s="145">
        <v>150</v>
      </c>
      <c r="T276" s="145">
        <v>200</v>
      </c>
      <c r="U276" s="286">
        <v>5175</v>
      </c>
      <c r="V276" s="145">
        <v>4</v>
      </c>
    </row>
    <row r="277" spans="18:22" x14ac:dyDescent="0.3">
      <c r="R277" t="str">
        <f t="shared" si="2"/>
        <v>175200</v>
      </c>
      <c r="S277" s="145">
        <v>175</v>
      </c>
      <c r="T277" s="145">
        <v>200</v>
      </c>
      <c r="U277" s="286">
        <v>6038</v>
      </c>
      <c r="V277" s="145">
        <v>6</v>
      </c>
    </row>
    <row r="278" spans="18:22" x14ac:dyDescent="0.3">
      <c r="R278" t="str">
        <f t="shared" si="2"/>
        <v>200200</v>
      </c>
      <c r="S278" s="145">
        <v>200</v>
      </c>
      <c r="T278" s="145">
        <v>200</v>
      </c>
      <c r="U278" s="286">
        <v>6900</v>
      </c>
      <c r="V278" s="145">
        <v>6</v>
      </c>
    </row>
    <row r="279" spans="18:22" x14ac:dyDescent="0.3">
      <c r="R279" t="str">
        <f t="shared" si="2"/>
        <v>250200</v>
      </c>
      <c r="S279" s="145">
        <v>250</v>
      </c>
      <c r="T279" s="145">
        <v>200</v>
      </c>
      <c r="U279" s="286">
        <v>8625</v>
      </c>
      <c r="V279" s="145">
        <v>6</v>
      </c>
    </row>
    <row r="280" spans="18:22" x14ac:dyDescent="0.3">
      <c r="R280" t="str">
        <f t="shared" si="2"/>
        <v>300200</v>
      </c>
      <c r="S280" s="145">
        <v>300</v>
      </c>
      <c r="T280" s="145">
        <v>200</v>
      </c>
      <c r="U280" s="286">
        <v>10350</v>
      </c>
      <c r="V280" s="145">
        <v>6</v>
      </c>
    </row>
    <row r="281" spans="18:22" x14ac:dyDescent="0.3">
      <c r="R281" t="str">
        <f t="shared" si="2"/>
        <v>350200</v>
      </c>
      <c r="S281" s="145">
        <v>350</v>
      </c>
      <c r="T281" s="145">
        <v>200</v>
      </c>
      <c r="U281" s="286">
        <v>12075</v>
      </c>
      <c r="V281" s="145">
        <v>8</v>
      </c>
    </row>
    <row r="282" spans="18:22" x14ac:dyDescent="0.3">
      <c r="R282" t="str">
        <f t="shared" si="2"/>
        <v>400200</v>
      </c>
      <c r="S282" s="145">
        <v>400</v>
      </c>
      <c r="T282" s="145">
        <v>200</v>
      </c>
      <c r="U282" s="286">
        <v>13800</v>
      </c>
      <c r="V282" s="145">
        <v>8</v>
      </c>
    </row>
    <row r="283" spans="18:22" x14ac:dyDescent="0.3">
      <c r="R283" t="str">
        <f t="shared" si="2"/>
        <v>500200</v>
      </c>
      <c r="S283" s="145">
        <v>500</v>
      </c>
      <c r="T283" s="145">
        <v>200</v>
      </c>
      <c r="U283" s="286">
        <v>17250</v>
      </c>
      <c r="V283" s="145">
        <v>8</v>
      </c>
    </row>
    <row r="284" spans="18:22" x14ac:dyDescent="0.3">
      <c r="R284" t="str">
        <f t="shared" si="2"/>
        <v>600200</v>
      </c>
      <c r="S284" s="145">
        <v>600</v>
      </c>
      <c r="T284" s="145">
        <v>200</v>
      </c>
      <c r="U284" s="286">
        <v>20700</v>
      </c>
      <c r="V284" s="145">
        <v>8</v>
      </c>
    </row>
    <row r="285" spans="18:22" x14ac:dyDescent="0.3">
      <c r="R285" t="str">
        <f t="shared" si="2"/>
        <v>700200</v>
      </c>
      <c r="S285" s="145">
        <v>700</v>
      </c>
      <c r="T285" s="145">
        <v>200</v>
      </c>
      <c r="U285" s="286">
        <v>24150</v>
      </c>
      <c r="V285" s="145">
        <v>8</v>
      </c>
    </row>
    <row r="286" spans="18:22" x14ac:dyDescent="0.3">
      <c r="R286" t="str">
        <f t="shared" si="2"/>
        <v>800200</v>
      </c>
      <c r="S286" s="145">
        <v>800</v>
      </c>
      <c r="T286" s="145">
        <v>200</v>
      </c>
      <c r="U286" s="286">
        <v>27600</v>
      </c>
      <c r="V286" s="145">
        <v>10</v>
      </c>
    </row>
    <row r="287" spans="18:22" x14ac:dyDescent="0.3">
      <c r="R287" t="str">
        <f t="shared" si="2"/>
        <v>900200</v>
      </c>
      <c r="S287" s="145">
        <v>900</v>
      </c>
      <c r="T287" s="145">
        <v>200</v>
      </c>
      <c r="U287" s="286">
        <v>31050</v>
      </c>
      <c r="V287" s="145">
        <v>10</v>
      </c>
    </row>
    <row r="288" spans="18:22" x14ac:dyDescent="0.3">
      <c r="R288" t="str">
        <f t="shared" si="2"/>
        <v>40250</v>
      </c>
      <c r="S288" s="145">
        <v>40</v>
      </c>
      <c r="T288" s="145">
        <v>250</v>
      </c>
      <c r="U288" s="286">
        <v>1380</v>
      </c>
      <c r="V288" s="145">
        <v>3</v>
      </c>
    </row>
    <row r="289" spans="18:22" x14ac:dyDescent="0.3">
      <c r="R289" t="str">
        <f t="shared" si="2"/>
        <v>50250</v>
      </c>
      <c r="S289" s="145">
        <v>50</v>
      </c>
      <c r="T289" s="145">
        <v>250</v>
      </c>
      <c r="U289" s="286">
        <v>1725</v>
      </c>
      <c r="V289" s="145">
        <v>3</v>
      </c>
    </row>
    <row r="290" spans="18:22" x14ac:dyDescent="0.3">
      <c r="R290" t="str">
        <f t="shared" si="2"/>
        <v>60250</v>
      </c>
      <c r="S290" s="145">
        <v>60</v>
      </c>
      <c r="T290" s="145">
        <v>250</v>
      </c>
      <c r="U290" s="286">
        <v>2070</v>
      </c>
      <c r="V290" s="145">
        <v>3</v>
      </c>
    </row>
    <row r="291" spans="18:22" x14ac:dyDescent="0.3">
      <c r="R291" t="str">
        <f t="shared" si="2"/>
        <v>70250</v>
      </c>
      <c r="S291" s="145">
        <v>70</v>
      </c>
      <c r="T291" s="145">
        <v>250</v>
      </c>
      <c r="U291" s="286">
        <v>2415</v>
      </c>
      <c r="V291" s="145">
        <v>3</v>
      </c>
    </row>
    <row r="292" spans="18:22" x14ac:dyDescent="0.3">
      <c r="R292" t="str">
        <f t="shared" si="2"/>
        <v>80250</v>
      </c>
      <c r="S292" s="145">
        <v>80</v>
      </c>
      <c r="T292" s="145">
        <v>250</v>
      </c>
      <c r="U292" s="286">
        <v>2760</v>
      </c>
      <c r="V292" s="145">
        <v>3</v>
      </c>
    </row>
    <row r="293" spans="18:22" x14ac:dyDescent="0.3">
      <c r="R293" t="str">
        <f t="shared" si="2"/>
        <v>100250</v>
      </c>
      <c r="S293" s="145">
        <v>100</v>
      </c>
      <c r="T293" s="145">
        <v>250</v>
      </c>
      <c r="U293" s="286">
        <v>3450</v>
      </c>
      <c r="V293" s="145">
        <v>4</v>
      </c>
    </row>
    <row r="294" spans="18:22" x14ac:dyDescent="0.3">
      <c r="R294" t="str">
        <f t="shared" si="2"/>
        <v>125250</v>
      </c>
      <c r="S294" s="145">
        <v>125</v>
      </c>
      <c r="T294" s="145">
        <v>250</v>
      </c>
      <c r="U294" s="286">
        <v>4313</v>
      </c>
      <c r="V294" s="145">
        <v>4</v>
      </c>
    </row>
    <row r="295" spans="18:22" x14ac:dyDescent="0.3">
      <c r="R295" t="str">
        <f t="shared" si="2"/>
        <v>150250</v>
      </c>
      <c r="S295" s="145">
        <v>150</v>
      </c>
      <c r="T295" s="145">
        <v>250</v>
      </c>
      <c r="U295" s="286">
        <v>5175</v>
      </c>
      <c r="V295" s="145">
        <v>4</v>
      </c>
    </row>
    <row r="296" spans="18:22" x14ac:dyDescent="0.3">
      <c r="R296" t="str">
        <f t="shared" ref="R296:R325" si="4">S296&amp;T296</f>
        <v>175250</v>
      </c>
      <c r="S296" s="145">
        <v>175</v>
      </c>
      <c r="T296" s="145">
        <v>250</v>
      </c>
      <c r="U296" s="286">
        <v>6038</v>
      </c>
      <c r="V296" s="145">
        <v>6</v>
      </c>
    </row>
    <row r="297" spans="18:22" x14ac:dyDescent="0.3">
      <c r="R297" t="str">
        <f t="shared" si="4"/>
        <v>200250</v>
      </c>
      <c r="S297" s="145">
        <v>200</v>
      </c>
      <c r="T297" s="145">
        <v>250</v>
      </c>
      <c r="U297" s="286">
        <v>6900</v>
      </c>
      <c r="V297" s="145">
        <v>6</v>
      </c>
    </row>
    <row r="298" spans="18:22" x14ac:dyDescent="0.3">
      <c r="R298" t="str">
        <f t="shared" si="4"/>
        <v>250250</v>
      </c>
      <c r="S298" s="145">
        <v>250</v>
      </c>
      <c r="T298" s="145">
        <v>250</v>
      </c>
      <c r="U298" s="286">
        <v>8625</v>
      </c>
      <c r="V298" s="145">
        <v>6</v>
      </c>
    </row>
    <row r="299" spans="18:22" x14ac:dyDescent="0.3">
      <c r="R299" t="str">
        <f t="shared" si="4"/>
        <v>300250</v>
      </c>
      <c r="S299" s="145">
        <v>300</v>
      </c>
      <c r="T299" s="145">
        <v>250</v>
      </c>
      <c r="U299" s="286">
        <v>10350</v>
      </c>
      <c r="V299" s="145">
        <v>6</v>
      </c>
    </row>
    <row r="300" spans="18:22" x14ac:dyDescent="0.3">
      <c r="R300" t="str">
        <f t="shared" si="4"/>
        <v>350250</v>
      </c>
      <c r="S300" s="145">
        <v>350</v>
      </c>
      <c r="T300" s="145">
        <v>250</v>
      </c>
      <c r="U300" s="286">
        <v>12075</v>
      </c>
      <c r="V300" s="145">
        <v>8</v>
      </c>
    </row>
    <row r="301" spans="18:22" x14ac:dyDescent="0.3">
      <c r="R301" t="str">
        <f t="shared" si="4"/>
        <v>400250</v>
      </c>
      <c r="S301" s="145">
        <v>400</v>
      </c>
      <c r="T301" s="145">
        <v>250</v>
      </c>
      <c r="U301" s="286">
        <v>13800</v>
      </c>
      <c r="V301" s="145">
        <v>8</v>
      </c>
    </row>
    <row r="302" spans="18:22" x14ac:dyDescent="0.3">
      <c r="R302" t="str">
        <f t="shared" si="4"/>
        <v>500250</v>
      </c>
      <c r="S302" s="145">
        <v>500</v>
      </c>
      <c r="T302" s="145">
        <v>250</v>
      </c>
      <c r="U302" s="286">
        <v>17250</v>
      </c>
      <c r="V302" s="145">
        <v>8</v>
      </c>
    </row>
    <row r="303" spans="18:22" x14ac:dyDescent="0.3">
      <c r="R303" t="str">
        <f t="shared" si="4"/>
        <v>600250</v>
      </c>
      <c r="S303" s="145">
        <v>600</v>
      </c>
      <c r="T303" s="145">
        <v>250</v>
      </c>
      <c r="U303" s="286">
        <v>20700</v>
      </c>
      <c r="V303" s="145">
        <v>8</v>
      </c>
    </row>
    <row r="304" spans="18:22" x14ac:dyDescent="0.3">
      <c r="R304" t="str">
        <f t="shared" si="4"/>
        <v>700250</v>
      </c>
      <c r="S304" s="145">
        <v>700</v>
      </c>
      <c r="T304" s="145">
        <v>250</v>
      </c>
      <c r="U304" s="286">
        <v>24150</v>
      </c>
      <c r="V304" s="145">
        <v>8</v>
      </c>
    </row>
    <row r="305" spans="18:22" x14ac:dyDescent="0.3">
      <c r="R305" t="str">
        <f t="shared" si="4"/>
        <v>800250</v>
      </c>
      <c r="S305" s="145">
        <v>800</v>
      </c>
      <c r="T305" s="145">
        <v>250</v>
      </c>
      <c r="U305" s="286">
        <v>27600</v>
      </c>
      <c r="V305" s="145">
        <v>10</v>
      </c>
    </row>
    <row r="306" spans="18:22" x14ac:dyDescent="0.3">
      <c r="R306" t="str">
        <f t="shared" si="4"/>
        <v>900250</v>
      </c>
      <c r="S306" s="145">
        <v>900</v>
      </c>
      <c r="T306" s="145">
        <v>250</v>
      </c>
      <c r="U306" s="286">
        <v>31050</v>
      </c>
      <c r="V306" s="145">
        <v>10</v>
      </c>
    </row>
    <row r="307" spans="18:22" x14ac:dyDescent="0.3">
      <c r="R307" t="str">
        <f t="shared" si="4"/>
        <v>40300</v>
      </c>
      <c r="S307" s="145">
        <v>40</v>
      </c>
      <c r="T307" s="145">
        <v>300</v>
      </c>
      <c r="U307" s="286">
        <v>1380</v>
      </c>
      <c r="V307" s="145">
        <v>3</v>
      </c>
    </row>
    <row r="308" spans="18:22" x14ac:dyDescent="0.3">
      <c r="R308" t="str">
        <f t="shared" si="4"/>
        <v>50300</v>
      </c>
      <c r="S308" s="145">
        <v>50</v>
      </c>
      <c r="T308" s="145">
        <v>300</v>
      </c>
      <c r="U308" s="286">
        <v>1725</v>
      </c>
      <c r="V308" s="145">
        <v>3</v>
      </c>
    </row>
    <row r="309" spans="18:22" x14ac:dyDescent="0.3">
      <c r="R309" t="str">
        <f t="shared" si="4"/>
        <v>60300</v>
      </c>
      <c r="S309" s="145">
        <v>60</v>
      </c>
      <c r="T309" s="145">
        <v>300</v>
      </c>
      <c r="U309" s="286">
        <v>2070</v>
      </c>
      <c r="V309" s="145">
        <v>3</v>
      </c>
    </row>
    <row r="310" spans="18:22" x14ac:dyDescent="0.3">
      <c r="R310" t="str">
        <f t="shared" si="4"/>
        <v>70300</v>
      </c>
      <c r="S310" s="145">
        <v>70</v>
      </c>
      <c r="T310" s="145">
        <v>300</v>
      </c>
      <c r="U310" s="286">
        <v>2415</v>
      </c>
      <c r="V310" s="145">
        <v>3</v>
      </c>
    </row>
    <row r="311" spans="18:22" x14ac:dyDescent="0.3">
      <c r="R311" t="str">
        <f t="shared" si="4"/>
        <v>80300</v>
      </c>
      <c r="S311" s="145">
        <v>80</v>
      </c>
      <c r="T311" s="145">
        <v>300</v>
      </c>
      <c r="U311" s="286">
        <v>2760</v>
      </c>
      <c r="V311" s="145">
        <v>3</v>
      </c>
    </row>
    <row r="312" spans="18:22" x14ac:dyDescent="0.3">
      <c r="R312" t="str">
        <f t="shared" si="4"/>
        <v>100300</v>
      </c>
      <c r="S312" s="145">
        <v>100</v>
      </c>
      <c r="T312" s="145">
        <v>300</v>
      </c>
      <c r="U312" s="286">
        <v>3450</v>
      </c>
      <c r="V312" s="145">
        <v>4</v>
      </c>
    </row>
    <row r="313" spans="18:22" x14ac:dyDescent="0.3">
      <c r="R313" t="str">
        <f t="shared" si="4"/>
        <v>125300</v>
      </c>
      <c r="S313" s="145">
        <v>125</v>
      </c>
      <c r="T313" s="145">
        <v>300</v>
      </c>
      <c r="U313" s="286">
        <v>4313</v>
      </c>
      <c r="V313" s="145">
        <v>4</v>
      </c>
    </row>
    <row r="314" spans="18:22" x14ac:dyDescent="0.3">
      <c r="R314" t="str">
        <f t="shared" si="4"/>
        <v>150300</v>
      </c>
      <c r="S314" s="145">
        <v>150</v>
      </c>
      <c r="T314" s="145">
        <v>300</v>
      </c>
      <c r="U314" s="286">
        <v>5175</v>
      </c>
      <c r="V314" s="145">
        <v>4</v>
      </c>
    </row>
    <row r="315" spans="18:22" x14ac:dyDescent="0.3">
      <c r="R315" t="str">
        <f t="shared" si="4"/>
        <v>175300</v>
      </c>
      <c r="S315" s="145">
        <v>175</v>
      </c>
      <c r="T315" s="145">
        <v>300</v>
      </c>
      <c r="U315" s="286">
        <v>6038</v>
      </c>
      <c r="V315" s="145">
        <v>6</v>
      </c>
    </row>
    <row r="316" spans="18:22" x14ac:dyDescent="0.3">
      <c r="R316" t="str">
        <f t="shared" si="4"/>
        <v>200300</v>
      </c>
      <c r="S316" s="145">
        <v>200</v>
      </c>
      <c r="T316" s="145">
        <v>300</v>
      </c>
      <c r="U316" s="286">
        <v>6900</v>
      </c>
      <c r="V316" s="145">
        <v>6</v>
      </c>
    </row>
    <row r="317" spans="18:22" x14ac:dyDescent="0.3">
      <c r="R317" t="str">
        <f t="shared" si="4"/>
        <v>250300</v>
      </c>
      <c r="S317" s="145">
        <v>250</v>
      </c>
      <c r="T317" s="145">
        <v>300</v>
      </c>
      <c r="U317" s="286">
        <v>8625</v>
      </c>
      <c r="V317" s="145">
        <v>6</v>
      </c>
    </row>
    <row r="318" spans="18:22" x14ac:dyDescent="0.3">
      <c r="R318" t="str">
        <f t="shared" si="4"/>
        <v>300300</v>
      </c>
      <c r="S318" s="145">
        <v>300</v>
      </c>
      <c r="T318" s="145">
        <v>300</v>
      </c>
      <c r="U318" s="286">
        <v>10350</v>
      </c>
      <c r="V318" s="145">
        <v>6</v>
      </c>
    </row>
    <row r="319" spans="18:22" x14ac:dyDescent="0.3">
      <c r="R319" t="str">
        <f t="shared" si="4"/>
        <v>350300</v>
      </c>
      <c r="S319" s="145">
        <v>350</v>
      </c>
      <c r="T319" s="145">
        <v>300</v>
      </c>
      <c r="U319" s="286">
        <v>12075</v>
      </c>
      <c r="V319" s="145">
        <v>8</v>
      </c>
    </row>
    <row r="320" spans="18:22" x14ac:dyDescent="0.3">
      <c r="R320" t="str">
        <f t="shared" si="4"/>
        <v>400300</v>
      </c>
      <c r="S320" s="145">
        <v>400</v>
      </c>
      <c r="T320" s="145">
        <v>300</v>
      </c>
      <c r="U320" s="286">
        <v>13800</v>
      </c>
      <c r="V320" s="145">
        <v>8</v>
      </c>
    </row>
    <row r="321" spans="18:22" x14ac:dyDescent="0.3">
      <c r="R321" t="str">
        <f t="shared" si="4"/>
        <v>500300</v>
      </c>
      <c r="S321" s="145">
        <v>500</v>
      </c>
      <c r="T321" s="145">
        <v>300</v>
      </c>
      <c r="U321" s="286">
        <v>17250</v>
      </c>
      <c r="V321" s="145">
        <v>8</v>
      </c>
    </row>
    <row r="322" spans="18:22" x14ac:dyDescent="0.3">
      <c r="R322" t="str">
        <f t="shared" si="4"/>
        <v>600300</v>
      </c>
      <c r="S322" s="145">
        <v>600</v>
      </c>
      <c r="T322" s="145">
        <v>300</v>
      </c>
      <c r="U322" s="286">
        <v>20700</v>
      </c>
      <c r="V322" s="145">
        <v>8</v>
      </c>
    </row>
    <row r="323" spans="18:22" x14ac:dyDescent="0.3">
      <c r="R323" t="str">
        <f t="shared" si="4"/>
        <v>700300</v>
      </c>
      <c r="S323" s="145">
        <v>700</v>
      </c>
      <c r="T323" s="145">
        <v>300</v>
      </c>
      <c r="U323" s="286">
        <v>24150</v>
      </c>
      <c r="V323" s="145">
        <v>8</v>
      </c>
    </row>
    <row r="324" spans="18:22" x14ac:dyDescent="0.3">
      <c r="R324" t="str">
        <f t="shared" si="4"/>
        <v>800300</v>
      </c>
      <c r="S324" s="145">
        <v>800</v>
      </c>
      <c r="T324" s="145">
        <v>300</v>
      </c>
      <c r="U324" s="286">
        <v>27600</v>
      </c>
      <c r="V324" s="145">
        <v>10</v>
      </c>
    </row>
    <row r="325" spans="18:22" x14ac:dyDescent="0.3">
      <c r="R325" t="str">
        <f t="shared" si="4"/>
        <v>900300</v>
      </c>
      <c r="S325" s="145">
        <v>900</v>
      </c>
      <c r="T325" s="145">
        <v>300</v>
      </c>
      <c r="U325" s="286">
        <v>31050</v>
      </c>
      <c r="V325" s="145">
        <v>10</v>
      </c>
    </row>
  </sheetData>
  <mergeCells count="14">
    <mergeCell ref="I23:P25"/>
    <mergeCell ref="AA209:AH210"/>
    <mergeCell ref="AA162:AH165"/>
    <mergeCell ref="AA181:AH183"/>
    <mergeCell ref="I8:O8"/>
    <mergeCell ref="L10:M10"/>
    <mergeCell ref="L11:M11"/>
    <mergeCell ref="L12:M12"/>
    <mergeCell ref="AA23:AH24"/>
    <mergeCell ref="AA95:AH96"/>
    <mergeCell ref="AA57:AH58"/>
    <mergeCell ref="AA69:AH71"/>
    <mergeCell ref="AA76:AH76"/>
    <mergeCell ref="AA81:AH82"/>
  </mergeCells>
  <phoneticPr fontId="41" type="noConversion"/>
  <pageMargins left="0.7" right="0.7" top="0.75" bottom="0.75" header="0.3" footer="0.3"/>
  <pageSetup orientation="portrait"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7E051-E1C7-4F39-911D-2878776BEF7E}">
  <sheetPr codeName="Sheet4"/>
  <dimension ref="A1:AY53"/>
  <sheetViews>
    <sheetView topLeftCell="O1" workbookViewId="0">
      <selection activeCell="AI26" sqref="AI26"/>
    </sheetView>
  </sheetViews>
  <sheetFormatPr defaultRowHeight="14.4" x14ac:dyDescent="0.3"/>
  <cols>
    <col min="2" max="2" width="11.5546875" customWidth="1"/>
    <col min="4" max="5" width="19.5546875" customWidth="1"/>
    <col min="6" max="6" width="3.109375" style="3" customWidth="1"/>
    <col min="7" max="7" width="16.109375" customWidth="1"/>
    <col min="8" max="8" width="3.109375" style="3" customWidth="1"/>
    <col min="9" max="10" width="15.5546875" customWidth="1"/>
    <col min="11" max="11" width="3.109375" style="3" customWidth="1"/>
    <col min="12" max="12" width="18.88671875" customWidth="1"/>
    <col min="13" max="13" width="3.109375" style="3" customWidth="1"/>
    <col min="15" max="15" width="3.109375" style="3" customWidth="1"/>
    <col min="16" max="16" width="17.33203125" customWidth="1"/>
    <col min="17" max="17" width="3.109375" style="3" customWidth="1"/>
    <col min="18" max="18" width="10.6640625" customWidth="1"/>
    <col min="19" max="19" width="3.109375" style="3" customWidth="1"/>
    <col min="20" max="20" width="18.33203125" customWidth="1"/>
    <col min="21" max="21" width="12.6640625" bestFit="1" customWidth="1"/>
    <col min="22" max="22" width="13.5546875" customWidth="1"/>
    <col min="23" max="23" width="3.109375" style="3" customWidth="1"/>
    <col min="25" max="25" width="3.109375" style="3" customWidth="1"/>
    <col min="26" max="26" width="0" hidden="1" customWidth="1"/>
    <col min="27" max="27" width="3.109375" style="3" hidden="1" customWidth="1"/>
    <col min="28" max="28" width="8.6640625" customWidth="1"/>
    <col min="30" max="30" width="14.6640625" customWidth="1"/>
    <col min="31" max="31" width="3.109375" style="3" customWidth="1"/>
    <col min="32" max="32" width="16.44140625" customWidth="1"/>
    <col min="33" max="33" width="16.6640625" customWidth="1"/>
  </cols>
  <sheetData>
    <row r="1" spans="1:51" ht="15" thickBot="1" x14ac:dyDescent="0.35">
      <c r="A1" s="267" t="s">
        <v>3</v>
      </c>
      <c r="G1" s="267" t="s">
        <v>151</v>
      </c>
      <c r="I1" s="267" t="s">
        <v>238</v>
      </c>
      <c r="J1" s="267"/>
      <c r="L1" s="267" t="s">
        <v>432</v>
      </c>
      <c r="N1" s="267" t="s">
        <v>433</v>
      </c>
      <c r="P1" s="267" t="s">
        <v>434</v>
      </c>
      <c r="R1" s="267" t="s">
        <v>436</v>
      </c>
      <c r="T1" s="267" t="s">
        <v>349</v>
      </c>
      <c r="U1" s="267"/>
      <c r="V1" t="s">
        <v>45</v>
      </c>
      <c r="X1" s="267" t="s">
        <v>437</v>
      </c>
      <c r="Z1" s="267" t="s">
        <v>438</v>
      </c>
      <c r="AB1" s="267" t="s">
        <v>179</v>
      </c>
      <c r="AF1" s="267" t="s">
        <v>431</v>
      </c>
    </row>
    <row r="2" spans="1:51" ht="27.6" thickBot="1" x14ac:dyDescent="0.35">
      <c r="C2" t="s">
        <v>5</v>
      </c>
      <c r="E2" t="s">
        <v>397</v>
      </c>
      <c r="G2">
        <v>15</v>
      </c>
      <c r="I2" t="s">
        <v>15</v>
      </c>
      <c r="L2" t="s">
        <v>17</v>
      </c>
      <c r="N2" t="s">
        <v>36</v>
      </c>
      <c r="P2" t="s">
        <v>4</v>
      </c>
      <c r="R2" t="s">
        <v>43</v>
      </c>
      <c r="T2" t="s">
        <v>5</v>
      </c>
      <c r="U2" t="s">
        <v>4</v>
      </c>
      <c r="V2" t="str" cm="1">
        <f t="array" ref="V2">_xlfn.UNIQUE(_xlfn.XLOOKUP('Data Entry'!D26,'Data Validation Tables'!T2:U2,'Data Validation Tables'!T3:U6),,TRUE)</f>
        <v>TEFC</v>
      </c>
      <c r="X2" s="15" t="s">
        <v>50</v>
      </c>
      <c r="AB2" t="s">
        <v>36</v>
      </c>
      <c r="AC2" t="s">
        <v>37</v>
      </c>
      <c r="AD2" t="s">
        <v>45</v>
      </c>
      <c r="AF2">
        <v>3</v>
      </c>
      <c r="AG2">
        <v>5</v>
      </c>
      <c r="AH2">
        <v>7.5</v>
      </c>
      <c r="AI2">
        <v>10</v>
      </c>
      <c r="AJ2">
        <v>15</v>
      </c>
      <c r="AK2">
        <v>20</v>
      </c>
      <c r="AL2">
        <v>25</v>
      </c>
      <c r="AM2">
        <v>30</v>
      </c>
      <c r="AN2">
        <v>40</v>
      </c>
      <c r="AO2" t="s">
        <v>45</v>
      </c>
      <c r="AR2" s="205" t="s">
        <v>358</v>
      </c>
    </row>
    <row r="3" spans="1:51" ht="15" thickBot="1" x14ac:dyDescent="0.35">
      <c r="C3" t="s">
        <v>4</v>
      </c>
      <c r="E3" t="s">
        <v>398</v>
      </c>
      <c r="G3">
        <v>150</v>
      </c>
      <c r="I3" t="s">
        <v>16</v>
      </c>
      <c r="L3" t="s">
        <v>374</v>
      </c>
      <c r="N3" t="s">
        <v>37</v>
      </c>
      <c r="P3" t="s">
        <v>39</v>
      </c>
      <c r="R3" t="s">
        <v>42</v>
      </c>
      <c r="T3" t="s">
        <v>37</v>
      </c>
      <c r="U3" t="s">
        <v>37</v>
      </c>
      <c r="X3" s="15" t="s">
        <v>51</v>
      </c>
      <c r="AB3" t="s">
        <v>4</v>
      </c>
      <c r="AC3" t="s">
        <v>5</v>
      </c>
      <c r="AD3" t="str" cm="1">
        <f t="array" ref="AD3:AD4">_xlfn.UNIQUE(_xlfn.XLOOKUP('Data Entry'!D30,'Data Validation Tables'!AB2:AC2,'Data Validation Tables'!AB3:AC4),,TRUE)</f>
        <v>YES</v>
      </c>
      <c r="AF3" s="199" t="s">
        <v>251</v>
      </c>
      <c r="AO3" t="str" cm="1">
        <f t="array" ref="AO3:AO5">_xlfn.UNIQUE(_xlfn.XLOOKUP('Data Entry'!$D$32,'Data Validation Tables'!AF2:AN2,'Data Validation Tables'!AF3:AN10),,TRUE)</f>
        <v>208/60/3</v>
      </c>
    </row>
    <row r="4" spans="1:51" ht="15" thickBot="1" x14ac:dyDescent="0.35">
      <c r="E4" t="s">
        <v>396</v>
      </c>
      <c r="G4">
        <v>200</v>
      </c>
      <c r="I4" t="s">
        <v>424</v>
      </c>
      <c r="L4" t="s">
        <v>187</v>
      </c>
      <c r="P4" t="s">
        <v>40</v>
      </c>
      <c r="U4" t="s">
        <v>36</v>
      </c>
      <c r="X4" s="15" t="s">
        <v>52</v>
      </c>
      <c r="AC4" t="s">
        <v>4</v>
      </c>
      <c r="AD4" t="str">
        <v>NO</v>
      </c>
      <c r="AF4" s="199" t="s">
        <v>252</v>
      </c>
      <c r="AO4" t="str">
        <v>230/60/3</v>
      </c>
    </row>
    <row r="5" spans="1:51" ht="15" thickBot="1" x14ac:dyDescent="0.35">
      <c r="B5" t="s">
        <v>196</v>
      </c>
      <c r="C5" t="s">
        <v>245</v>
      </c>
      <c r="D5" t="s">
        <v>246</v>
      </c>
      <c r="E5" t="s">
        <v>109</v>
      </c>
      <c r="G5">
        <v>250</v>
      </c>
      <c r="X5" s="15" t="s">
        <v>53</v>
      </c>
      <c r="Z5" t="s">
        <v>200</v>
      </c>
      <c r="AF5" s="145" t="s">
        <v>253</v>
      </c>
      <c r="AG5" s="145" t="s">
        <v>199</v>
      </c>
      <c r="AH5" s="145" t="s">
        <v>199</v>
      </c>
      <c r="AI5" s="145" t="s">
        <v>199</v>
      </c>
      <c r="AO5" t="str">
        <v>460/60/3</v>
      </c>
    </row>
    <row r="6" spans="1:51" ht="15" thickBot="1" x14ac:dyDescent="0.35">
      <c r="A6">
        <v>40</v>
      </c>
      <c r="B6">
        <v>1</v>
      </c>
      <c r="C6">
        <v>10</v>
      </c>
      <c r="D6">
        <v>3</v>
      </c>
      <c r="E6">
        <v>1674</v>
      </c>
      <c r="G6">
        <v>300</v>
      </c>
      <c r="I6" t="s">
        <v>15</v>
      </c>
      <c r="J6">
        <v>1000</v>
      </c>
      <c r="X6" s="15" t="s">
        <v>54</v>
      </c>
      <c r="Z6" t="s">
        <v>201</v>
      </c>
      <c r="AF6" s="200" t="s">
        <v>254</v>
      </c>
      <c r="AG6" s="200" t="s">
        <v>200</v>
      </c>
      <c r="AH6" s="200" t="s">
        <v>200</v>
      </c>
      <c r="AI6" s="200" t="s">
        <v>200</v>
      </c>
      <c r="AJ6" s="200" t="s">
        <v>200</v>
      </c>
      <c r="AK6" s="200" t="s">
        <v>200</v>
      </c>
      <c r="AL6" s="200" t="s">
        <v>200</v>
      </c>
      <c r="AM6" s="200" t="s">
        <v>200</v>
      </c>
      <c r="AN6" s="200" t="s">
        <v>200</v>
      </c>
    </row>
    <row r="7" spans="1:51" ht="15" thickBot="1" x14ac:dyDescent="0.35">
      <c r="A7">
        <v>50</v>
      </c>
      <c r="B7">
        <v>1</v>
      </c>
      <c r="C7">
        <v>10</v>
      </c>
      <c r="D7">
        <v>5</v>
      </c>
      <c r="E7">
        <v>2092</v>
      </c>
      <c r="I7" t="s">
        <v>424</v>
      </c>
      <c r="J7">
        <v>1000</v>
      </c>
      <c r="U7" t="s">
        <v>153</v>
      </c>
      <c r="X7" s="15" t="s">
        <v>55</v>
      </c>
      <c r="Z7" t="s">
        <v>202</v>
      </c>
      <c r="AB7" t="s">
        <v>425</v>
      </c>
      <c r="AD7" t="s">
        <v>45</v>
      </c>
      <c r="AF7" s="145" t="s">
        <v>255</v>
      </c>
      <c r="AG7" s="145" t="s">
        <v>201</v>
      </c>
      <c r="AH7" s="145" t="s">
        <v>201</v>
      </c>
      <c r="AI7" s="145" t="s">
        <v>201</v>
      </c>
      <c r="AJ7" s="145" t="s">
        <v>201</v>
      </c>
      <c r="AK7" s="145" t="s">
        <v>201</v>
      </c>
      <c r="AL7" s="145" t="s">
        <v>201</v>
      </c>
      <c r="AM7" s="145" t="s">
        <v>201</v>
      </c>
      <c r="AN7" s="145" t="s">
        <v>201</v>
      </c>
    </row>
    <row r="8" spans="1:51" ht="15" thickBot="1" x14ac:dyDescent="0.35">
      <c r="A8">
        <v>60</v>
      </c>
      <c r="B8">
        <v>1</v>
      </c>
      <c r="C8">
        <v>10</v>
      </c>
      <c r="D8">
        <v>7.5</v>
      </c>
      <c r="E8">
        <v>2511</v>
      </c>
      <c r="I8" t="s">
        <v>16</v>
      </c>
      <c r="J8" t="s">
        <v>1</v>
      </c>
      <c r="T8" s="267" t="s">
        <v>150</v>
      </c>
      <c r="V8" t="s">
        <v>1</v>
      </c>
      <c r="X8" s="15" t="s">
        <v>56</v>
      </c>
      <c r="AB8" t="s">
        <v>5</v>
      </c>
      <c r="AC8" t="s">
        <v>4</v>
      </c>
      <c r="AD8" t="str" cm="1">
        <f t="array" ref="AD8:AD9">_xlfn.UNIQUE(_xlfn.XLOOKUP('Data Entry'!D45,'Data Validation Tables'!AB8:AC8,'Data Validation Tables'!AB9:AC12),,TRUE)</f>
        <v>YES</v>
      </c>
      <c r="AF8" s="200" t="s">
        <v>256</v>
      </c>
      <c r="AG8" s="200" t="s">
        <v>202</v>
      </c>
      <c r="AH8" s="200" t="s">
        <v>202</v>
      </c>
      <c r="AI8" s="200" t="s">
        <v>202</v>
      </c>
      <c r="AJ8" s="200" t="s">
        <v>202</v>
      </c>
      <c r="AK8" s="200" t="s">
        <v>202</v>
      </c>
      <c r="AL8" s="200" t="s">
        <v>202</v>
      </c>
      <c r="AM8" s="200" t="s">
        <v>202</v>
      </c>
      <c r="AN8" s="200" t="s">
        <v>202</v>
      </c>
    </row>
    <row r="9" spans="1:51" ht="15" thickBot="1" x14ac:dyDescent="0.35">
      <c r="A9">
        <v>70</v>
      </c>
      <c r="B9">
        <v>1</v>
      </c>
      <c r="C9">
        <v>10</v>
      </c>
      <c r="D9">
        <v>7.5</v>
      </c>
      <c r="E9">
        <v>2929</v>
      </c>
      <c r="P9" s="267" t="s">
        <v>435</v>
      </c>
      <c r="T9" s="267" t="s">
        <v>152</v>
      </c>
      <c r="U9" t="s">
        <v>1</v>
      </c>
      <c r="V9" t="s">
        <v>45</v>
      </c>
      <c r="X9" s="15" t="s">
        <v>57</v>
      </c>
      <c r="AB9" t="s">
        <v>5</v>
      </c>
      <c r="AC9" t="s">
        <v>4</v>
      </c>
      <c r="AD9" t="str">
        <v>NO</v>
      </c>
    </row>
    <row r="10" spans="1:51" ht="15" thickBot="1" x14ac:dyDescent="0.35">
      <c r="A10">
        <v>80</v>
      </c>
      <c r="B10">
        <v>1</v>
      </c>
      <c r="C10">
        <v>10</v>
      </c>
      <c r="D10">
        <v>7.5</v>
      </c>
      <c r="E10">
        <v>3348</v>
      </c>
      <c r="I10" t="s">
        <v>15</v>
      </c>
      <c r="P10" t="s">
        <v>4</v>
      </c>
      <c r="T10">
        <v>15</v>
      </c>
      <c r="U10">
        <f>T10*0.85</f>
        <v>12.75</v>
      </c>
      <c r="V10">
        <f>ROUNDDOWN(U10,0)</f>
        <v>12</v>
      </c>
      <c r="X10" s="15" t="s">
        <v>58</v>
      </c>
      <c r="AB10" t="s">
        <v>4</v>
      </c>
    </row>
    <row r="11" spans="1:51" ht="15" thickBot="1" x14ac:dyDescent="0.35">
      <c r="A11">
        <v>100</v>
      </c>
      <c r="B11">
        <v>1</v>
      </c>
      <c r="C11">
        <v>10</v>
      </c>
      <c r="D11">
        <v>7.5</v>
      </c>
      <c r="E11">
        <v>4184</v>
      </c>
      <c r="I11" t="s">
        <v>424</v>
      </c>
      <c r="J11">
        <v>2500</v>
      </c>
      <c r="P11" t="s">
        <v>378</v>
      </c>
      <c r="T11">
        <v>150</v>
      </c>
      <c r="U11">
        <f>T11*0.85</f>
        <v>127.5</v>
      </c>
      <c r="V11">
        <f t="shared" ref="V11:V14" si="0">ROUNDDOWN(U11,0)</f>
        <v>127</v>
      </c>
      <c r="X11" s="15" t="s">
        <v>59</v>
      </c>
    </row>
    <row r="12" spans="1:51" ht="15" thickBot="1" x14ac:dyDescent="0.35">
      <c r="A12">
        <v>125</v>
      </c>
      <c r="B12">
        <v>1</v>
      </c>
      <c r="C12">
        <v>10</v>
      </c>
      <c r="D12">
        <v>10</v>
      </c>
      <c r="E12">
        <v>5231</v>
      </c>
      <c r="I12" t="s">
        <v>16</v>
      </c>
      <c r="J12">
        <v>2500</v>
      </c>
      <c r="P12" t="s">
        <v>379</v>
      </c>
      <c r="T12">
        <v>200</v>
      </c>
      <c r="U12">
        <f>T12*0.85</f>
        <v>170</v>
      </c>
      <c r="V12">
        <f t="shared" si="0"/>
        <v>170</v>
      </c>
      <c r="X12" s="15" t="s">
        <v>60</v>
      </c>
      <c r="AF12" s="267" t="s">
        <v>430</v>
      </c>
    </row>
    <row r="13" spans="1:51" ht="15" thickBot="1" x14ac:dyDescent="0.35">
      <c r="A13">
        <v>150</v>
      </c>
      <c r="B13">
        <v>1</v>
      </c>
      <c r="C13">
        <v>10</v>
      </c>
      <c r="D13">
        <v>10</v>
      </c>
      <c r="E13">
        <v>6277</v>
      </c>
      <c r="T13">
        <v>250</v>
      </c>
      <c r="U13">
        <f>T13*0.85</f>
        <v>212.5</v>
      </c>
      <c r="V13">
        <f t="shared" si="0"/>
        <v>212</v>
      </c>
      <c r="X13" s="15" t="s">
        <v>61</v>
      </c>
    </row>
    <row r="14" spans="1:51" ht="15" thickBot="1" x14ac:dyDescent="0.35">
      <c r="A14">
        <v>175</v>
      </c>
      <c r="B14">
        <v>1</v>
      </c>
      <c r="C14">
        <v>10</v>
      </c>
      <c r="D14">
        <v>10</v>
      </c>
      <c r="E14">
        <v>7323</v>
      </c>
      <c r="T14">
        <v>300</v>
      </c>
      <c r="U14">
        <f>T14*0.85</f>
        <v>255</v>
      </c>
      <c r="V14">
        <f t="shared" si="0"/>
        <v>255</v>
      </c>
      <c r="X14" s="15" t="s">
        <v>62</v>
      </c>
      <c r="AF14">
        <v>40</v>
      </c>
      <c r="AG14">
        <v>50</v>
      </c>
      <c r="AH14">
        <v>60</v>
      </c>
      <c r="AI14">
        <v>70</v>
      </c>
      <c r="AJ14">
        <v>80</v>
      </c>
      <c r="AK14">
        <v>100</v>
      </c>
      <c r="AL14">
        <v>125</v>
      </c>
      <c r="AM14">
        <v>150</v>
      </c>
      <c r="AN14">
        <v>175</v>
      </c>
      <c r="AO14">
        <v>200</v>
      </c>
      <c r="AP14">
        <v>250</v>
      </c>
      <c r="AQ14">
        <v>300</v>
      </c>
      <c r="AR14">
        <v>350</v>
      </c>
      <c r="AS14">
        <v>400</v>
      </c>
      <c r="AT14">
        <v>500</v>
      </c>
      <c r="AU14">
        <v>600</v>
      </c>
      <c r="AV14">
        <v>700</v>
      </c>
      <c r="AW14">
        <v>800</v>
      </c>
      <c r="AX14">
        <v>900</v>
      </c>
      <c r="AY14" t="s">
        <v>45</v>
      </c>
    </row>
    <row r="15" spans="1:51" ht="15" thickBot="1" x14ac:dyDescent="0.35">
      <c r="A15">
        <v>200</v>
      </c>
      <c r="B15">
        <v>1</v>
      </c>
      <c r="C15">
        <v>10</v>
      </c>
      <c r="D15">
        <v>15</v>
      </c>
      <c r="E15">
        <v>8369</v>
      </c>
      <c r="U15" t="s">
        <v>154</v>
      </c>
      <c r="X15" s="15" t="s">
        <v>63</v>
      </c>
      <c r="AF15">
        <v>1</v>
      </c>
      <c r="AG15">
        <v>1</v>
      </c>
      <c r="AH15">
        <v>1</v>
      </c>
      <c r="AI15">
        <v>1</v>
      </c>
      <c r="AJ15">
        <v>1</v>
      </c>
      <c r="AK15">
        <v>1</v>
      </c>
      <c r="AL15">
        <v>1</v>
      </c>
      <c r="AM15">
        <v>1</v>
      </c>
      <c r="AN15">
        <v>1</v>
      </c>
      <c r="AO15">
        <v>1</v>
      </c>
      <c r="AP15">
        <v>1</v>
      </c>
      <c r="AQ15">
        <v>2</v>
      </c>
      <c r="AR15">
        <v>2</v>
      </c>
      <c r="AS15">
        <v>2</v>
      </c>
      <c r="AT15">
        <v>2</v>
      </c>
      <c r="AU15">
        <v>2</v>
      </c>
      <c r="AV15">
        <v>2</v>
      </c>
      <c r="AW15">
        <v>2</v>
      </c>
      <c r="AX15">
        <v>2</v>
      </c>
      <c r="AY15" cm="1">
        <f t="array" ref="AY15:AY23">_xlfn.UNIQUE(_xlfn.XLOOKUP('Data Entry'!$D$20,'Data Validation Tables'!AF14:AX14,'Data Validation Tables'!AF15:AX23),,TRUE)</f>
        <v>2</v>
      </c>
    </row>
    <row r="16" spans="1:51" ht="15" thickBot="1" x14ac:dyDescent="0.35">
      <c r="A16">
        <v>250</v>
      </c>
      <c r="B16">
        <v>1</v>
      </c>
      <c r="C16">
        <v>10</v>
      </c>
      <c r="D16">
        <v>20</v>
      </c>
      <c r="E16">
        <v>10461</v>
      </c>
      <c r="T16">
        <v>15</v>
      </c>
      <c r="U16">
        <f>T16*0.1</f>
        <v>1.5</v>
      </c>
      <c r="V16">
        <f t="shared" ref="V16:V20" si="1">ROUNDDOWN(U16,0)</f>
        <v>1</v>
      </c>
      <c r="X16" s="15" t="s">
        <v>64</v>
      </c>
      <c r="AF16">
        <v>2</v>
      </c>
      <c r="AG16">
        <v>2</v>
      </c>
      <c r="AH16">
        <v>2</v>
      </c>
      <c r="AI16">
        <v>2</v>
      </c>
      <c r="AJ16">
        <v>2</v>
      </c>
      <c r="AK16">
        <v>2</v>
      </c>
      <c r="AL16">
        <v>2</v>
      </c>
      <c r="AM16">
        <v>2</v>
      </c>
      <c r="AN16">
        <v>2</v>
      </c>
      <c r="AO16">
        <v>2</v>
      </c>
      <c r="AP16">
        <v>2</v>
      </c>
      <c r="AQ16">
        <v>3</v>
      </c>
      <c r="AR16">
        <v>3</v>
      </c>
      <c r="AS16">
        <v>3</v>
      </c>
      <c r="AT16">
        <v>3</v>
      </c>
      <c r="AU16">
        <v>3</v>
      </c>
      <c r="AV16">
        <v>3</v>
      </c>
      <c r="AW16">
        <v>3</v>
      </c>
      <c r="AX16">
        <v>3</v>
      </c>
      <c r="AY16">
        <v>3</v>
      </c>
    </row>
    <row r="17" spans="1:51" ht="15" thickBot="1" x14ac:dyDescent="0.35">
      <c r="A17">
        <v>300</v>
      </c>
      <c r="B17">
        <v>2</v>
      </c>
      <c r="C17">
        <v>10</v>
      </c>
      <c r="D17">
        <v>20</v>
      </c>
      <c r="E17">
        <v>12553</v>
      </c>
      <c r="T17">
        <v>150</v>
      </c>
      <c r="U17">
        <f t="shared" ref="U17:U20" si="2">T17*0.1</f>
        <v>15</v>
      </c>
      <c r="V17">
        <f t="shared" si="1"/>
        <v>15</v>
      </c>
      <c r="X17" s="15" t="s">
        <v>65</v>
      </c>
      <c r="AF17">
        <v>3</v>
      </c>
      <c r="AG17">
        <v>3</v>
      </c>
      <c r="AH17">
        <v>3</v>
      </c>
      <c r="AI17">
        <v>3</v>
      </c>
      <c r="AJ17">
        <v>3</v>
      </c>
      <c r="AK17">
        <v>3</v>
      </c>
      <c r="AL17">
        <v>3</v>
      </c>
      <c r="AM17">
        <v>3</v>
      </c>
      <c r="AN17">
        <v>3</v>
      </c>
      <c r="AO17">
        <v>3</v>
      </c>
      <c r="AP17">
        <v>3</v>
      </c>
      <c r="AQ17">
        <v>4</v>
      </c>
      <c r="AR17">
        <v>4</v>
      </c>
      <c r="AS17">
        <v>4</v>
      </c>
      <c r="AT17">
        <v>4</v>
      </c>
      <c r="AU17">
        <v>4</v>
      </c>
      <c r="AV17">
        <v>4</v>
      </c>
      <c r="AW17">
        <v>4</v>
      </c>
      <c r="AX17">
        <v>4</v>
      </c>
      <c r="AY17">
        <v>4</v>
      </c>
    </row>
    <row r="18" spans="1:51" ht="15" thickBot="1" x14ac:dyDescent="0.35">
      <c r="A18">
        <v>350</v>
      </c>
      <c r="B18">
        <v>2</v>
      </c>
      <c r="C18">
        <v>10</v>
      </c>
      <c r="D18">
        <v>20</v>
      </c>
      <c r="E18">
        <v>14645</v>
      </c>
      <c r="T18">
        <v>200</v>
      </c>
      <c r="U18">
        <f t="shared" si="2"/>
        <v>20</v>
      </c>
      <c r="V18">
        <f t="shared" si="1"/>
        <v>20</v>
      </c>
      <c r="X18" s="15" t="s">
        <v>66</v>
      </c>
      <c r="AF18">
        <v>4</v>
      </c>
      <c r="AG18">
        <v>4</v>
      </c>
      <c r="AH18">
        <v>4</v>
      </c>
      <c r="AI18">
        <v>4</v>
      </c>
      <c r="AJ18">
        <v>4</v>
      </c>
      <c r="AK18">
        <v>4</v>
      </c>
      <c r="AL18">
        <v>4</v>
      </c>
      <c r="AM18">
        <v>4</v>
      </c>
      <c r="AN18">
        <v>4</v>
      </c>
      <c r="AO18">
        <v>4</v>
      </c>
      <c r="AP18">
        <v>4</v>
      </c>
      <c r="AQ18">
        <v>5</v>
      </c>
      <c r="AR18">
        <v>5</v>
      </c>
      <c r="AS18">
        <v>5</v>
      </c>
      <c r="AT18">
        <v>5</v>
      </c>
      <c r="AU18">
        <v>5</v>
      </c>
      <c r="AV18">
        <v>5</v>
      </c>
      <c r="AW18">
        <v>5</v>
      </c>
      <c r="AX18">
        <v>5</v>
      </c>
      <c r="AY18">
        <v>5</v>
      </c>
    </row>
    <row r="19" spans="1:51" ht="15" thickBot="1" x14ac:dyDescent="0.35">
      <c r="A19">
        <v>400</v>
      </c>
      <c r="B19">
        <v>2</v>
      </c>
      <c r="C19">
        <v>10</v>
      </c>
      <c r="D19">
        <v>20</v>
      </c>
      <c r="E19">
        <v>16738</v>
      </c>
      <c r="T19">
        <v>250</v>
      </c>
      <c r="U19">
        <f t="shared" si="2"/>
        <v>25</v>
      </c>
      <c r="V19">
        <f t="shared" si="1"/>
        <v>25</v>
      </c>
      <c r="X19" s="15" t="s">
        <v>67</v>
      </c>
      <c r="AF19">
        <v>5</v>
      </c>
      <c r="AG19">
        <v>5</v>
      </c>
      <c r="AH19">
        <v>5</v>
      </c>
      <c r="AI19">
        <v>5</v>
      </c>
      <c r="AJ19">
        <v>5</v>
      </c>
      <c r="AK19">
        <v>5</v>
      </c>
      <c r="AL19">
        <v>5</v>
      </c>
      <c r="AM19">
        <v>5</v>
      </c>
      <c r="AN19">
        <v>5</v>
      </c>
      <c r="AO19">
        <v>5</v>
      </c>
      <c r="AP19">
        <v>5</v>
      </c>
      <c r="AQ19">
        <v>6</v>
      </c>
      <c r="AR19">
        <v>6</v>
      </c>
      <c r="AS19">
        <v>6</v>
      </c>
      <c r="AT19">
        <v>6</v>
      </c>
      <c r="AU19">
        <v>6</v>
      </c>
      <c r="AV19">
        <v>6</v>
      </c>
      <c r="AW19">
        <v>6</v>
      </c>
      <c r="AX19">
        <v>6</v>
      </c>
      <c r="AY19">
        <v>6</v>
      </c>
    </row>
    <row r="20" spans="1:51" ht="15" thickBot="1" x14ac:dyDescent="0.35">
      <c r="A20">
        <v>500</v>
      </c>
      <c r="B20">
        <v>2</v>
      </c>
      <c r="C20">
        <v>10</v>
      </c>
      <c r="D20">
        <v>25</v>
      </c>
      <c r="E20">
        <v>20922</v>
      </c>
      <c r="T20">
        <v>300</v>
      </c>
      <c r="U20">
        <f t="shared" si="2"/>
        <v>30</v>
      </c>
      <c r="V20">
        <f t="shared" si="1"/>
        <v>30</v>
      </c>
      <c r="X20" s="15" t="s">
        <v>68</v>
      </c>
      <c r="AQ20">
        <v>7</v>
      </c>
      <c r="AR20">
        <v>7</v>
      </c>
      <c r="AS20">
        <v>7</v>
      </c>
      <c r="AT20">
        <v>7</v>
      </c>
      <c r="AU20">
        <v>7</v>
      </c>
      <c r="AV20">
        <v>7</v>
      </c>
      <c r="AW20">
        <v>7</v>
      </c>
      <c r="AX20">
        <v>7</v>
      </c>
      <c r="AY20">
        <v>7</v>
      </c>
    </row>
    <row r="21" spans="1:51" ht="15" thickBot="1" x14ac:dyDescent="0.35">
      <c r="A21">
        <v>600</v>
      </c>
      <c r="B21">
        <v>2</v>
      </c>
      <c r="C21">
        <v>10</v>
      </c>
      <c r="D21">
        <v>30</v>
      </c>
      <c r="E21">
        <v>25107</v>
      </c>
      <c r="V21" t="s">
        <v>45</v>
      </c>
      <c r="X21" s="15" t="s">
        <v>69</v>
      </c>
      <c r="AQ21">
        <v>8</v>
      </c>
      <c r="AR21">
        <v>8</v>
      </c>
      <c r="AS21">
        <v>8</v>
      </c>
      <c r="AT21">
        <v>8</v>
      </c>
      <c r="AU21">
        <v>8</v>
      </c>
      <c r="AV21">
        <v>8</v>
      </c>
      <c r="AW21">
        <v>8</v>
      </c>
      <c r="AX21">
        <v>8</v>
      </c>
      <c r="AY21">
        <v>8</v>
      </c>
    </row>
    <row r="22" spans="1:51" ht="15" thickBot="1" x14ac:dyDescent="0.35">
      <c r="A22">
        <v>700</v>
      </c>
      <c r="B22">
        <v>2</v>
      </c>
      <c r="C22">
        <v>10</v>
      </c>
      <c r="D22">
        <v>30</v>
      </c>
      <c r="E22">
        <v>29291</v>
      </c>
      <c r="T22">
        <v>15</v>
      </c>
      <c r="U22">
        <v>1</v>
      </c>
      <c r="V22">
        <v>12</v>
      </c>
      <c r="X22" s="15" t="s">
        <v>70</v>
      </c>
      <c r="AG22" t="s">
        <v>1</v>
      </c>
      <c r="AQ22">
        <v>9</v>
      </c>
      <c r="AR22">
        <v>9</v>
      </c>
      <c r="AS22">
        <v>9</v>
      </c>
      <c r="AT22">
        <v>9</v>
      </c>
      <c r="AU22">
        <v>9</v>
      </c>
      <c r="AV22">
        <v>9</v>
      </c>
      <c r="AW22">
        <v>9</v>
      </c>
      <c r="AX22">
        <v>9</v>
      </c>
      <c r="AY22">
        <v>9</v>
      </c>
    </row>
    <row r="23" spans="1:51" ht="15" thickBot="1" x14ac:dyDescent="0.35">
      <c r="A23">
        <v>800</v>
      </c>
      <c r="B23">
        <v>2</v>
      </c>
      <c r="C23">
        <v>10</v>
      </c>
      <c r="D23">
        <v>30</v>
      </c>
      <c r="E23">
        <v>33475</v>
      </c>
      <c r="T23">
        <v>150</v>
      </c>
      <c r="U23">
        <v>15</v>
      </c>
      <c r="V23">
        <v>127</v>
      </c>
      <c r="X23" s="15" t="s">
        <v>71</v>
      </c>
      <c r="AF23" s="267" t="s">
        <v>44</v>
      </c>
      <c r="AG23" s="267"/>
      <c r="AH23" t="s">
        <v>1</v>
      </c>
      <c r="AI23" t="s">
        <v>45</v>
      </c>
      <c r="AQ23">
        <v>10</v>
      </c>
      <c r="AR23">
        <v>10</v>
      </c>
      <c r="AS23">
        <v>10</v>
      </c>
      <c r="AT23">
        <v>10</v>
      </c>
      <c r="AU23">
        <v>10</v>
      </c>
      <c r="AV23">
        <v>10</v>
      </c>
      <c r="AW23">
        <v>10</v>
      </c>
      <c r="AX23">
        <v>10</v>
      </c>
      <c r="AY23">
        <v>10</v>
      </c>
    </row>
    <row r="24" spans="1:51" ht="15" thickBot="1" x14ac:dyDescent="0.35">
      <c r="A24">
        <v>900</v>
      </c>
      <c r="B24">
        <v>2</v>
      </c>
      <c r="C24">
        <v>10</v>
      </c>
      <c r="D24">
        <v>40</v>
      </c>
      <c r="E24">
        <v>37659</v>
      </c>
      <c r="T24">
        <v>200</v>
      </c>
      <c r="U24">
        <v>20</v>
      </c>
      <c r="V24">
        <v>170</v>
      </c>
      <c r="X24" s="15" t="s">
        <v>72</v>
      </c>
      <c r="AF24" t="s">
        <v>398</v>
      </c>
      <c r="AG24" t="s">
        <v>397</v>
      </c>
      <c r="AH24" t="s">
        <v>396</v>
      </c>
      <c r="AI24" t="str" cm="1">
        <f t="array" ref="AI24:AI25">_xlfn.UNIQUE(_xlfn.XLOOKUP('Data Entry'!D53,'Data Validation Tables'!AF24:AH24,'Data Validation Tables'!AF25:AH28),,TRUE)</f>
        <v xml:space="preserve">YES  </v>
      </c>
      <c r="AQ24" t="s">
        <v>1</v>
      </c>
    </row>
    <row r="25" spans="1:51" ht="15" thickBot="1" x14ac:dyDescent="0.35">
      <c r="T25">
        <v>250</v>
      </c>
      <c r="U25">
        <v>25</v>
      </c>
      <c r="V25">
        <v>212</v>
      </c>
      <c r="X25" s="15" t="s">
        <v>73</v>
      </c>
      <c r="AF25" t="s">
        <v>399</v>
      </c>
      <c r="AG25" t="s">
        <v>399</v>
      </c>
      <c r="AH25" t="s">
        <v>396</v>
      </c>
      <c r="AI25" t="str">
        <v>NO</v>
      </c>
    </row>
    <row r="26" spans="1:51" ht="15" thickBot="1" x14ac:dyDescent="0.35">
      <c r="T26">
        <v>300</v>
      </c>
      <c r="U26">
        <v>30</v>
      </c>
      <c r="V26">
        <v>255</v>
      </c>
      <c r="X26" s="15" t="s">
        <v>74</v>
      </c>
      <c r="AF26" t="s">
        <v>4</v>
      </c>
      <c r="AG26" t="s">
        <v>4</v>
      </c>
    </row>
    <row r="27" spans="1:51" ht="15" thickBot="1" x14ac:dyDescent="0.35">
      <c r="X27" s="15" t="s">
        <v>75</v>
      </c>
    </row>
    <row r="28" spans="1:51" ht="15" thickBot="1" x14ac:dyDescent="0.35">
      <c r="T28" s="267" t="s">
        <v>357</v>
      </c>
      <c r="U28" t="s">
        <v>1</v>
      </c>
      <c r="V28" t="s">
        <v>45</v>
      </c>
      <c r="X28" s="15" t="s">
        <v>76</v>
      </c>
    </row>
    <row r="29" spans="1:51" ht="15" thickBot="1" x14ac:dyDescent="0.35">
      <c r="T29">
        <v>40</v>
      </c>
      <c r="U29" s="145">
        <v>1</v>
      </c>
      <c r="V29" s="145">
        <v>5</v>
      </c>
      <c r="X29" s="15" t="s">
        <v>77</v>
      </c>
      <c r="AF29" t="s">
        <v>151</v>
      </c>
    </row>
    <row r="30" spans="1:51" ht="15" thickBot="1" x14ac:dyDescent="0.35">
      <c r="T30">
        <v>50</v>
      </c>
      <c r="U30" s="145">
        <v>1</v>
      </c>
      <c r="V30" s="145">
        <v>5</v>
      </c>
      <c r="X30" s="15" t="s">
        <v>78</v>
      </c>
      <c r="AF30" s="145">
        <v>15</v>
      </c>
      <c r="AG30" s="145">
        <v>150</v>
      </c>
      <c r="AH30" s="145">
        <v>200</v>
      </c>
      <c r="AI30" s="145">
        <v>250</v>
      </c>
      <c r="AJ30" s="145">
        <v>300</v>
      </c>
      <c r="AK30" t="s">
        <v>45</v>
      </c>
    </row>
    <row r="31" spans="1:51" ht="15" thickBot="1" x14ac:dyDescent="0.35">
      <c r="T31">
        <v>60</v>
      </c>
      <c r="U31" s="145">
        <v>1</v>
      </c>
      <c r="V31" s="145">
        <v>5</v>
      </c>
      <c r="X31" s="15" t="s">
        <v>79</v>
      </c>
      <c r="AF31" t="s">
        <v>5</v>
      </c>
      <c r="AG31" t="s">
        <v>5</v>
      </c>
      <c r="AH31" t="s">
        <v>4</v>
      </c>
      <c r="AI31" t="s">
        <v>4</v>
      </c>
      <c r="AJ31" t="s">
        <v>4</v>
      </c>
      <c r="AK31" t="str" cm="1">
        <f t="array" ref="AK31:AK32">_xlfn.UNIQUE(_xlfn.XLOOKUP('Data Entry'!$D$39,'Data Validation Tables'!AF30:AJ30,'Data Validation Tables'!AF31:AJ34),,TRUE)</f>
        <v>YES</v>
      </c>
    </row>
    <row r="32" spans="1:51" ht="15" thickBot="1" x14ac:dyDescent="0.35">
      <c r="T32">
        <v>70</v>
      </c>
      <c r="U32" s="145">
        <v>1</v>
      </c>
      <c r="V32" s="145">
        <v>5</v>
      </c>
      <c r="X32" s="15" t="s">
        <v>80</v>
      </c>
      <c r="AF32" t="s">
        <v>4</v>
      </c>
      <c r="AG32" t="s">
        <v>4</v>
      </c>
      <c r="AK32" t="str">
        <v>NO</v>
      </c>
    </row>
    <row r="33" spans="20:37" ht="15" thickBot="1" x14ac:dyDescent="0.35">
      <c r="T33">
        <v>80</v>
      </c>
      <c r="U33" s="145">
        <v>1</v>
      </c>
      <c r="V33" s="145">
        <v>5</v>
      </c>
      <c r="X33" s="15" t="s">
        <v>81</v>
      </c>
    </row>
    <row r="34" spans="20:37" ht="15" thickBot="1" x14ac:dyDescent="0.35">
      <c r="T34">
        <v>100</v>
      </c>
      <c r="U34" s="145">
        <v>1</v>
      </c>
      <c r="V34" s="145">
        <v>5</v>
      </c>
      <c r="X34" s="15" t="s">
        <v>82</v>
      </c>
      <c r="AK34" t="s">
        <v>1</v>
      </c>
    </row>
    <row r="35" spans="20:37" ht="15" thickBot="1" x14ac:dyDescent="0.35">
      <c r="T35">
        <v>125</v>
      </c>
      <c r="U35" s="145">
        <v>1</v>
      </c>
      <c r="V35" s="145">
        <v>5</v>
      </c>
      <c r="X35" s="15" t="s">
        <v>83</v>
      </c>
      <c r="AK35" t="s">
        <v>1</v>
      </c>
    </row>
    <row r="36" spans="20:37" ht="15" thickBot="1" x14ac:dyDescent="0.35">
      <c r="T36">
        <v>150</v>
      </c>
      <c r="U36" s="145">
        <v>1</v>
      </c>
      <c r="V36" s="145">
        <v>5</v>
      </c>
      <c r="X36" s="15" t="s">
        <v>84</v>
      </c>
    </row>
    <row r="37" spans="20:37" ht="15" thickBot="1" x14ac:dyDescent="0.35">
      <c r="T37">
        <v>175</v>
      </c>
      <c r="U37" s="145">
        <v>1</v>
      </c>
      <c r="V37" s="145">
        <v>5</v>
      </c>
      <c r="X37" s="15" t="s">
        <v>85</v>
      </c>
    </row>
    <row r="38" spans="20:37" ht="15" thickBot="1" x14ac:dyDescent="0.35">
      <c r="T38">
        <v>200</v>
      </c>
      <c r="U38" s="145">
        <v>1</v>
      </c>
      <c r="V38" s="145">
        <v>5</v>
      </c>
      <c r="X38" s="15" t="s">
        <v>86</v>
      </c>
    </row>
    <row r="39" spans="20:37" ht="15" thickBot="1" x14ac:dyDescent="0.35">
      <c r="T39">
        <v>250</v>
      </c>
      <c r="U39" s="145">
        <v>1</v>
      </c>
      <c r="V39" s="145">
        <v>5</v>
      </c>
      <c r="X39" s="15" t="s">
        <v>87</v>
      </c>
    </row>
    <row r="40" spans="20:37" ht="15" thickBot="1" x14ac:dyDescent="0.35">
      <c r="T40">
        <v>300</v>
      </c>
      <c r="U40" s="145">
        <v>2</v>
      </c>
      <c r="V40" s="145">
        <v>10</v>
      </c>
      <c r="X40" s="15" t="s">
        <v>88</v>
      </c>
    </row>
    <row r="41" spans="20:37" ht="15" thickBot="1" x14ac:dyDescent="0.35">
      <c r="T41">
        <v>350</v>
      </c>
      <c r="U41" s="145">
        <v>2</v>
      </c>
      <c r="V41" s="145">
        <v>10</v>
      </c>
      <c r="X41" s="15" t="s">
        <v>89</v>
      </c>
    </row>
    <row r="42" spans="20:37" ht="15" thickBot="1" x14ac:dyDescent="0.35">
      <c r="T42">
        <v>400</v>
      </c>
      <c r="U42" s="145">
        <v>2</v>
      </c>
      <c r="V42" s="145">
        <v>10</v>
      </c>
      <c r="X42" s="15" t="s">
        <v>90</v>
      </c>
    </row>
    <row r="43" spans="20:37" ht="15" thickBot="1" x14ac:dyDescent="0.35">
      <c r="T43">
        <v>500</v>
      </c>
      <c r="U43" s="145">
        <v>2</v>
      </c>
      <c r="V43" s="145">
        <v>10</v>
      </c>
      <c r="X43" s="15" t="s">
        <v>91</v>
      </c>
    </row>
    <row r="44" spans="20:37" ht="15" thickBot="1" x14ac:dyDescent="0.35">
      <c r="T44">
        <v>600</v>
      </c>
      <c r="U44" s="145">
        <v>2</v>
      </c>
      <c r="V44" s="145">
        <v>10</v>
      </c>
      <c r="X44" s="15" t="s">
        <v>92</v>
      </c>
    </row>
    <row r="45" spans="20:37" ht="15" thickBot="1" x14ac:dyDescent="0.35">
      <c r="T45">
        <v>700</v>
      </c>
      <c r="U45" s="145">
        <v>2</v>
      </c>
      <c r="V45" s="145">
        <v>10</v>
      </c>
      <c r="X45" s="15" t="s">
        <v>93</v>
      </c>
    </row>
    <row r="46" spans="20:37" ht="15" thickBot="1" x14ac:dyDescent="0.35">
      <c r="T46">
        <v>800</v>
      </c>
      <c r="U46" s="145">
        <v>2</v>
      </c>
      <c r="V46" s="145">
        <v>10</v>
      </c>
      <c r="X46" s="15" t="s">
        <v>94</v>
      </c>
    </row>
    <row r="47" spans="20:37" ht="15" thickBot="1" x14ac:dyDescent="0.35">
      <c r="T47">
        <v>900</v>
      </c>
      <c r="U47" s="145">
        <v>2</v>
      </c>
      <c r="V47" s="145">
        <v>10</v>
      </c>
      <c r="X47" s="15" t="s">
        <v>95</v>
      </c>
    </row>
    <row r="48" spans="20:37" ht="15" thickBot="1" x14ac:dyDescent="0.35">
      <c r="X48" s="15" t="s">
        <v>96</v>
      </c>
    </row>
    <row r="49" spans="24:24" ht="15" thickBot="1" x14ac:dyDescent="0.35">
      <c r="X49" s="15" t="s">
        <v>97</v>
      </c>
    </row>
    <row r="50" spans="24:24" ht="15" thickBot="1" x14ac:dyDescent="0.35">
      <c r="X50" s="15" t="s">
        <v>98</v>
      </c>
    </row>
    <row r="51" spans="24:24" ht="15" thickBot="1" x14ac:dyDescent="0.35">
      <c r="X51" s="15" t="s">
        <v>99</v>
      </c>
    </row>
    <row r="52" spans="24:24" ht="15" thickBot="1" x14ac:dyDescent="0.35">
      <c r="X52" s="15" t="s">
        <v>100</v>
      </c>
    </row>
    <row r="53" spans="24:24" ht="15" thickBot="1" x14ac:dyDescent="0.35">
      <c r="X53" s="15" t="s">
        <v>101</v>
      </c>
    </row>
  </sheetData>
  <customSheetViews>
    <customSheetView guid="{2D4CE29E-74EC-4B9B-B32E-1D5C2973539A}">
      <selection activeCell="O3" sqref="O3"/>
      <pageMargins left="0.7" right="0.7" top="0.75" bottom="0.75" header="0.3" footer="0.3"/>
    </customSheetView>
  </customSheetViews>
  <phoneticPr fontId="41"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73B37B-99D7-498E-849E-A455649396C4}">
  <sheetPr codeName="Sheet5"/>
  <dimension ref="A1:V98"/>
  <sheetViews>
    <sheetView workbookViewId="0">
      <pane ySplit="1" topLeftCell="A53" activePane="bottomLeft" state="frozen"/>
      <selection pane="bottomLeft" activeCell="J86" sqref="J86"/>
    </sheetView>
  </sheetViews>
  <sheetFormatPr defaultColWidth="8.88671875" defaultRowHeight="11.4" x14ac:dyDescent="0.2"/>
  <cols>
    <col min="1" max="1" width="11.5546875" style="123" bestFit="1" customWidth="1"/>
    <col min="2" max="2" width="11.5546875" style="132" customWidth="1"/>
    <col min="3" max="3" width="15.88671875" style="137" bestFit="1" customWidth="1"/>
    <col min="4" max="6" width="8.88671875" style="123"/>
    <col min="7" max="7" width="9.5546875" style="123" bestFit="1" customWidth="1"/>
    <col min="8" max="8" width="8.88671875" style="123"/>
    <col min="9" max="9" width="11.5546875" style="123" customWidth="1"/>
    <col min="10" max="10" width="13.33203125" style="123" customWidth="1"/>
    <col min="11" max="12" width="8.88671875" style="123"/>
    <col min="13" max="13" width="15.44140625" style="123" customWidth="1"/>
    <col min="14" max="14" width="11.33203125" style="123" customWidth="1"/>
    <col min="15" max="15" width="16.6640625" style="123" customWidth="1"/>
    <col min="16" max="16" width="34.44140625" style="123" customWidth="1"/>
    <col min="17" max="17" width="14.33203125" style="123" customWidth="1"/>
    <col min="18" max="18" width="11.6640625" style="123" customWidth="1"/>
    <col min="19" max="19" width="8.88671875" style="123"/>
    <col min="20" max="20" width="11" style="123" customWidth="1"/>
    <col min="21" max="21" width="10.5546875" style="123" customWidth="1"/>
    <col min="22" max="22" width="10.44140625" style="123" customWidth="1"/>
    <col min="23" max="250" width="8.88671875" style="123"/>
    <col min="251" max="251" width="11.5546875" style="123" bestFit="1" customWidth="1"/>
    <col min="252" max="252" width="10.88671875" style="123" customWidth="1"/>
    <col min="253" max="253" width="11.109375" style="123" bestFit="1" customWidth="1"/>
    <col min="254" max="255" width="8.88671875" style="123" bestFit="1"/>
    <col min="256" max="256" width="10.33203125" style="123" bestFit="1" customWidth="1"/>
    <col min="257" max="257" width="7.88671875" style="123" bestFit="1" customWidth="1"/>
    <col min="258" max="258" width="8.88671875" style="123" bestFit="1"/>
    <col min="259" max="259" width="9.5546875" style="123" bestFit="1" customWidth="1"/>
    <col min="260" max="260" width="13" style="123" customWidth="1"/>
    <col min="261" max="264" width="8.88671875" style="123"/>
    <col min="265" max="265" width="11.5546875" style="123" customWidth="1"/>
    <col min="266" max="266" width="13.33203125" style="123" customWidth="1"/>
    <col min="267" max="268" width="8.88671875" style="123"/>
    <col min="269" max="269" width="15.44140625" style="123" customWidth="1"/>
    <col min="270" max="270" width="11.33203125" style="123" customWidth="1"/>
    <col min="271" max="271" width="8.88671875" style="123"/>
    <col min="272" max="272" width="13.33203125" style="123" customWidth="1"/>
    <col min="273" max="273" width="14.33203125" style="123" customWidth="1"/>
    <col min="274" max="274" width="11.6640625" style="123" customWidth="1"/>
    <col min="275" max="275" width="8.88671875" style="123"/>
    <col min="276" max="276" width="11" style="123" customWidth="1"/>
    <col min="277" max="277" width="10.5546875" style="123" customWidth="1"/>
    <col min="278" max="278" width="10.44140625" style="123" customWidth="1"/>
    <col min="279" max="506" width="8.88671875" style="123"/>
    <col min="507" max="507" width="11.5546875" style="123" bestFit="1" customWidth="1"/>
    <col min="508" max="508" width="10.88671875" style="123" customWidth="1"/>
    <col min="509" max="509" width="11.109375" style="123" bestFit="1" customWidth="1"/>
    <col min="510" max="511" width="8.88671875" style="123" bestFit="1"/>
    <col min="512" max="512" width="10.33203125" style="123" bestFit="1" customWidth="1"/>
    <col min="513" max="513" width="7.88671875" style="123" bestFit="1" customWidth="1"/>
    <col min="514" max="514" width="8.88671875" style="123" bestFit="1"/>
    <col min="515" max="515" width="9.5546875" style="123" bestFit="1" customWidth="1"/>
    <col min="516" max="516" width="13" style="123" customWidth="1"/>
    <col min="517" max="520" width="8.88671875" style="123"/>
    <col min="521" max="521" width="11.5546875" style="123" customWidth="1"/>
    <col min="522" max="522" width="13.33203125" style="123" customWidth="1"/>
    <col min="523" max="524" width="8.88671875" style="123"/>
    <col min="525" max="525" width="15.44140625" style="123" customWidth="1"/>
    <col min="526" max="526" width="11.33203125" style="123" customWidth="1"/>
    <col min="527" max="527" width="8.88671875" style="123"/>
    <col min="528" max="528" width="13.33203125" style="123" customWidth="1"/>
    <col min="529" max="529" width="14.33203125" style="123" customWidth="1"/>
    <col min="530" max="530" width="11.6640625" style="123" customWidth="1"/>
    <col min="531" max="531" width="8.88671875" style="123"/>
    <col min="532" max="532" width="11" style="123" customWidth="1"/>
    <col min="533" max="533" width="10.5546875" style="123" customWidth="1"/>
    <col min="534" max="534" width="10.44140625" style="123" customWidth="1"/>
    <col min="535" max="762" width="8.88671875" style="123"/>
    <col min="763" max="763" width="11.5546875" style="123" bestFit="1" customWidth="1"/>
    <col min="764" max="764" width="10.88671875" style="123" customWidth="1"/>
    <col min="765" max="765" width="11.109375" style="123" bestFit="1" customWidth="1"/>
    <col min="766" max="767" width="8.88671875" style="123" bestFit="1"/>
    <col min="768" max="768" width="10.33203125" style="123" bestFit="1" customWidth="1"/>
    <col min="769" max="769" width="7.88671875" style="123" bestFit="1" customWidth="1"/>
    <col min="770" max="770" width="8.88671875" style="123" bestFit="1"/>
    <col min="771" max="771" width="9.5546875" style="123" bestFit="1" customWidth="1"/>
    <col min="772" max="772" width="13" style="123" customWidth="1"/>
    <col min="773" max="776" width="8.88671875" style="123"/>
    <col min="777" max="777" width="11.5546875" style="123" customWidth="1"/>
    <col min="778" max="778" width="13.33203125" style="123" customWidth="1"/>
    <col min="779" max="780" width="8.88671875" style="123"/>
    <col min="781" max="781" width="15.44140625" style="123" customWidth="1"/>
    <col min="782" max="782" width="11.33203125" style="123" customWidth="1"/>
    <col min="783" max="783" width="8.88671875" style="123"/>
    <col min="784" max="784" width="13.33203125" style="123" customWidth="1"/>
    <col min="785" max="785" width="14.33203125" style="123" customWidth="1"/>
    <col min="786" max="786" width="11.6640625" style="123" customWidth="1"/>
    <col min="787" max="787" width="8.88671875" style="123"/>
    <col min="788" max="788" width="11" style="123" customWidth="1"/>
    <col min="789" max="789" width="10.5546875" style="123" customWidth="1"/>
    <col min="790" max="790" width="10.44140625" style="123" customWidth="1"/>
    <col min="791" max="1018" width="8.88671875" style="123"/>
    <col min="1019" max="1019" width="11.5546875" style="123" bestFit="1" customWidth="1"/>
    <col min="1020" max="1020" width="10.88671875" style="123" customWidth="1"/>
    <col min="1021" max="1021" width="11.109375" style="123" bestFit="1" customWidth="1"/>
    <col min="1022" max="1023" width="8.88671875" style="123" bestFit="1"/>
    <col min="1024" max="1024" width="10.33203125" style="123" bestFit="1" customWidth="1"/>
    <col min="1025" max="1025" width="7.88671875" style="123" bestFit="1" customWidth="1"/>
    <col min="1026" max="1026" width="8.88671875" style="123" bestFit="1"/>
    <col min="1027" max="1027" width="9.5546875" style="123" bestFit="1" customWidth="1"/>
    <col min="1028" max="1028" width="13" style="123" customWidth="1"/>
    <col min="1029" max="1032" width="8.88671875" style="123"/>
    <col min="1033" max="1033" width="11.5546875" style="123" customWidth="1"/>
    <col min="1034" max="1034" width="13.33203125" style="123" customWidth="1"/>
    <col min="1035" max="1036" width="8.88671875" style="123"/>
    <col min="1037" max="1037" width="15.44140625" style="123" customWidth="1"/>
    <col min="1038" max="1038" width="11.33203125" style="123" customWidth="1"/>
    <col min="1039" max="1039" width="8.88671875" style="123"/>
    <col min="1040" max="1040" width="13.33203125" style="123" customWidth="1"/>
    <col min="1041" max="1041" width="14.33203125" style="123" customWidth="1"/>
    <col min="1042" max="1042" width="11.6640625" style="123" customWidth="1"/>
    <col min="1043" max="1043" width="8.88671875" style="123"/>
    <col min="1044" max="1044" width="11" style="123" customWidth="1"/>
    <col min="1045" max="1045" width="10.5546875" style="123" customWidth="1"/>
    <col min="1046" max="1046" width="10.44140625" style="123" customWidth="1"/>
    <col min="1047" max="1274" width="8.88671875" style="123"/>
    <col min="1275" max="1275" width="11.5546875" style="123" bestFit="1" customWidth="1"/>
    <col min="1276" max="1276" width="10.88671875" style="123" customWidth="1"/>
    <col min="1277" max="1277" width="11.109375" style="123" bestFit="1" customWidth="1"/>
    <col min="1278" max="1279" width="8.88671875" style="123" bestFit="1"/>
    <col min="1280" max="1280" width="10.33203125" style="123" bestFit="1" customWidth="1"/>
    <col min="1281" max="1281" width="7.88671875" style="123" bestFit="1" customWidth="1"/>
    <col min="1282" max="1282" width="8.88671875" style="123" bestFit="1"/>
    <col min="1283" max="1283" width="9.5546875" style="123" bestFit="1" customWidth="1"/>
    <col min="1284" max="1284" width="13" style="123" customWidth="1"/>
    <col min="1285" max="1288" width="8.88671875" style="123"/>
    <col min="1289" max="1289" width="11.5546875" style="123" customWidth="1"/>
    <col min="1290" max="1290" width="13.33203125" style="123" customWidth="1"/>
    <col min="1291" max="1292" width="8.88671875" style="123"/>
    <col min="1293" max="1293" width="15.44140625" style="123" customWidth="1"/>
    <col min="1294" max="1294" width="11.33203125" style="123" customWidth="1"/>
    <col min="1295" max="1295" width="8.88671875" style="123"/>
    <col min="1296" max="1296" width="13.33203125" style="123" customWidth="1"/>
    <col min="1297" max="1297" width="14.33203125" style="123" customWidth="1"/>
    <col min="1298" max="1298" width="11.6640625" style="123" customWidth="1"/>
    <col min="1299" max="1299" width="8.88671875" style="123"/>
    <col min="1300" max="1300" width="11" style="123" customWidth="1"/>
    <col min="1301" max="1301" width="10.5546875" style="123" customWidth="1"/>
    <col min="1302" max="1302" width="10.44140625" style="123" customWidth="1"/>
    <col min="1303" max="1530" width="8.88671875" style="123"/>
    <col min="1531" max="1531" width="11.5546875" style="123" bestFit="1" customWidth="1"/>
    <col min="1532" max="1532" width="10.88671875" style="123" customWidth="1"/>
    <col min="1533" max="1533" width="11.109375" style="123" bestFit="1" customWidth="1"/>
    <col min="1534" max="1535" width="8.88671875" style="123" bestFit="1"/>
    <col min="1536" max="1536" width="10.33203125" style="123" bestFit="1" customWidth="1"/>
    <col min="1537" max="1537" width="7.88671875" style="123" bestFit="1" customWidth="1"/>
    <col min="1538" max="1538" width="8.88671875" style="123" bestFit="1"/>
    <col min="1539" max="1539" width="9.5546875" style="123" bestFit="1" customWidth="1"/>
    <col min="1540" max="1540" width="13" style="123" customWidth="1"/>
    <col min="1541" max="1544" width="8.88671875" style="123"/>
    <col min="1545" max="1545" width="11.5546875" style="123" customWidth="1"/>
    <col min="1546" max="1546" width="13.33203125" style="123" customWidth="1"/>
    <col min="1547" max="1548" width="8.88671875" style="123"/>
    <col min="1549" max="1549" width="15.44140625" style="123" customWidth="1"/>
    <col min="1550" max="1550" width="11.33203125" style="123" customWidth="1"/>
    <col min="1551" max="1551" width="8.88671875" style="123"/>
    <col min="1552" max="1552" width="13.33203125" style="123" customWidth="1"/>
    <col min="1553" max="1553" width="14.33203125" style="123" customWidth="1"/>
    <col min="1554" max="1554" width="11.6640625" style="123" customWidth="1"/>
    <col min="1555" max="1555" width="8.88671875" style="123"/>
    <col min="1556" max="1556" width="11" style="123" customWidth="1"/>
    <col min="1557" max="1557" width="10.5546875" style="123" customWidth="1"/>
    <col min="1558" max="1558" width="10.44140625" style="123" customWidth="1"/>
    <col min="1559" max="1786" width="8.88671875" style="123"/>
    <col min="1787" max="1787" width="11.5546875" style="123" bestFit="1" customWidth="1"/>
    <col min="1788" max="1788" width="10.88671875" style="123" customWidth="1"/>
    <col min="1789" max="1789" width="11.109375" style="123" bestFit="1" customWidth="1"/>
    <col min="1790" max="1791" width="8.88671875" style="123" bestFit="1"/>
    <col min="1792" max="1792" width="10.33203125" style="123" bestFit="1" customWidth="1"/>
    <col min="1793" max="1793" width="7.88671875" style="123" bestFit="1" customWidth="1"/>
    <col min="1794" max="1794" width="8.88671875" style="123" bestFit="1"/>
    <col min="1795" max="1795" width="9.5546875" style="123" bestFit="1" customWidth="1"/>
    <col min="1796" max="1796" width="13" style="123" customWidth="1"/>
    <col min="1797" max="1800" width="8.88671875" style="123"/>
    <col min="1801" max="1801" width="11.5546875" style="123" customWidth="1"/>
    <col min="1802" max="1802" width="13.33203125" style="123" customWidth="1"/>
    <col min="1803" max="1804" width="8.88671875" style="123"/>
    <col min="1805" max="1805" width="15.44140625" style="123" customWidth="1"/>
    <col min="1806" max="1806" width="11.33203125" style="123" customWidth="1"/>
    <col min="1807" max="1807" width="8.88671875" style="123"/>
    <col min="1808" max="1808" width="13.33203125" style="123" customWidth="1"/>
    <col min="1809" max="1809" width="14.33203125" style="123" customWidth="1"/>
    <col min="1810" max="1810" width="11.6640625" style="123" customWidth="1"/>
    <col min="1811" max="1811" width="8.88671875" style="123"/>
    <col min="1812" max="1812" width="11" style="123" customWidth="1"/>
    <col min="1813" max="1813" width="10.5546875" style="123" customWidth="1"/>
    <col min="1814" max="1814" width="10.44140625" style="123" customWidth="1"/>
    <col min="1815" max="2042" width="8.88671875" style="123"/>
    <col min="2043" max="2043" width="11.5546875" style="123" bestFit="1" customWidth="1"/>
    <col min="2044" max="2044" width="10.88671875" style="123" customWidth="1"/>
    <col min="2045" max="2045" width="11.109375" style="123" bestFit="1" customWidth="1"/>
    <col min="2046" max="2047" width="8.88671875" style="123" bestFit="1"/>
    <col min="2048" max="2048" width="10.33203125" style="123" bestFit="1" customWidth="1"/>
    <col min="2049" max="2049" width="7.88671875" style="123" bestFit="1" customWidth="1"/>
    <col min="2050" max="2050" width="8.88671875" style="123" bestFit="1"/>
    <col min="2051" max="2051" width="9.5546875" style="123" bestFit="1" customWidth="1"/>
    <col min="2052" max="2052" width="13" style="123" customWidth="1"/>
    <col min="2053" max="2056" width="8.88671875" style="123"/>
    <col min="2057" max="2057" width="11.5546875" style="123" customWidth="1"/>
    <col min="2058" max="2058" width="13.33203125" style="123" customWidth="1"/>
    <col min="2059" max="2060" width="8.88671875" style="123"/>
    <col min="2061" max="2061" width="15.44140625" style="123" customWidth="1"/>
    <col min="2062" max="2062" width="11.33203125" style="123" customWidth="1"/>
    <col min="2063" max="2063" width="8.88671875" style="123"/>
    <col min="2064" max="2064" width="13.33203125" style="123" customWidth="1"/>
    <col min="2065" max="2065" width="14.33203125" style="123" customWidth="1"/>
    <col min="2066" max="2066" width="11.6640625" style="123" customWidth="1"/>
    <col min="2067" max="2067" width="8.88671875" style="123"/>
    <col min="2068" max="2068" width="11" style="123" customWidth="1"/>
    <col min="2069" max="2069" width="10.5546875" style="123" customWidth="1"/>
    <col min="2070" max="2070" width="10.44140625" style="123" customWidth="1"/>
    <col min="2071" max="2298" width="8.88671875" style="123"/>
    <col min="2299" max="2299" width="11.5546875" style="123" bestFit="1" customWidth="1"/>
    <col min="2300" max="2300" width="10.88671875" style="123" customWidth="1"/>
    <col min="2301" max="2301" width="11.109375" style="123" bestFit="1" customWidth="1"/>
    <col min="2302" max="2303" width="8.88671875" style="123" bestFit="1"/>
    <col min="2304" max="2304" width="10.33203125" style="123" bestFit="1" customWidth="1"/>
    <col min="2305" max="2305" width="7.88671875" style="123" bestFit="1" customWidth="1"/>
    <col min="2306" max="2306" width="8.88671875" style="123" bestFit="1"/>
    <col min="2307" max="2307" width="9.5546875" style="123" bestFit="1" customWidth="1"/>
    <col min="2308" max="2308" width="13" style="123" customWidth="1"/>
    <col min="2309" max="2312" width="8.88671875" style="123"/>
    <col min="2313" max="2313" width="11.5546875" style="123" customWidth="1"/>
    <col min="2314" max="2314" width="13.33203125" style="123" customWidth="1"/>
    <col min="2315" max="2316" width="8.88671875" style="123"/>
    <col min="2317" max="2317" width="15.44140625" style="123" customWidth="1"/>
    <col min="2318" max="2318" width="11.33203125" style="123" customWidth="1"/>
    <col min="2319" max="2319" width="8.88671875" style="123"/>
    <col min="2320" max="2320" width="13.33203125" style="123" customWidth="1"/>
    <col min="2321" max="2321" width="14.33203125" style="123" customWidth="1"/>
    <col min="2322" max="2322" width="11.6640625" style="123" customWidth="1"/>
    <col min="2323" max="2323" width="8.88671875" style="123"/>
    <col min="2324" max="2324" width="11" style="123" customWidth="1"/>
    <col min="2325" max="2325" width="10.5546875" style="123" customWidth="1"/>
    <col min="2326" max="2326" width="10.44140625" style="123" customWidth="1"/>
    <col min="2327" max="2554" width="8.88671875" style="123"/>
    <col min="2555" max="2555" width="11.5546875" style="123" bestFit="1" customWidth="1"/>
    <col min="2556" max="2556" width="10.88671875" style="123" customWidth="1"/>
    <col min="2557" max="2557" width="11.109375" style="123" bestFit="1" customWidth="1"/>
    <col min="2558" max="2559" width="8.88671875" style="123" bestFit="1"/>
    <col min="2560" max="2560" width="10.33203125" style="123" bestFit="1" customWidth="1"/>
    <col min="2561" max="2561" width="7.88671875" style="123" bestFit="1" customWidth="1"/>
    <col min="2562" max="2562" width="8.88671875" style="123" bestFit="1"/>
    <col min="2563" max="2563" width="9.5546875" style="123" bestFit="1" customWidth="1"/>
    <col min="2564" max="2564" width="13" style="123" customWidth="1"/>
    <col min="2565" max="2568" width="8.88671875" style="123"/>
    <col min="2569" max="2569" width="11.5546875" style="123" customWidth="1"/>
    <col min="2570" max="2570" width="13.33203125" style="123" customWidth="1"/>
    <col min="2571" max="2572" width="8.88671875" style="123"/>
    <col min="2573" max="2573" width="15.44140625" style="123" customWidth="1"/>
    <col min="2574" max="2574" width="11.33203125" style="123" customWidth="1"/>
    <col min="2575" max="2575" width="8.88671875" style="123"/>
    <col min="2576" max="2576" width="13.33203125" style="123" customWidth="1"/>
    <col min="2577" max="2577" width="14.33203125" style="123" customWidth="1"/>
    <col min="2578" max="2578" width="11.6640625" style="123" customWidth="1"/>
    <col min="2579" max="2579" width="8.88671875" style="123"/>
    <col min="2580" max="2580" width="11" style="123" customWidth="1"/>
    <col min="2581" max="2581" width="10.5546875" style="123" customWidth="1"/>
    <col min="2582" max="2582" width="10.44140625" style="123" customWidth="1"/>
    <col min="2583" max="2810" width="8.88671875" style="123"/>
    <col min="2811" max="2811" width="11.5546875" style="123" bestFit="1" customWidth="1"/>
    <col min="2812" max="2812" width="10.88671875" style="123" customWidth="1"/>
    <col min="2813" max="2813" width="11.109375" style="123" bestFit="1" customWidth="1"/>
    <col min="2814" max="2815" width="8.88671875" style="123" bestFit="1"/>
    <col min="2816" max="2816" width="10.33203125" style="123" bestFit="1" customWidth="1"/>
    <col min="2817" max="2817" width="7.88671875" style="123" bestFit="1" customWidth="1"/>
    <col min="2818" max="2818" width="8.88671875" style="123" bestFit="1"/>
    <col min="2819" max="2819" width="9.5546875" style="123" bestFit="1" customWidth="1"/>
    <col min="2820" max="2820" width="13" style="123" customWidth="1"/>
    <col min="2821" max="2824" width="8.88671875" style="123"/>
    <col min="2825" max="2825" width="11.5546875" style="123" customWidth="1"/>
    <col min="2826" max="2826" width="13.33203125" style="123" customWidth="1"/>
    <col min="2827" max="2828" width="8.88671875" style="123"/>
    <col min="2829" max="2829" width="15.44140625" style="123" customWidth="1"/>
    <col min="2830" max="2830" width="11.33203125" style="123" customWidth="1"/>
    <col min="2831" max="2831" width="8.88671875" style="123"/>
    <col min="2832" max="2832" width="13.33203125" style="123" customWidth="1"/>
    <col min="2833" max="2833" width="14.33203125" style="123" customWidth="1"/>
    <col min="2834" max="2834" width="11.6640625" style="123" customWidth="1"/>
    <col min="2835" max="2835" width="8.88671875" style="123"/>
    <col min="2836" max="2836" width="11" style="123" customWidth="1"/>
    <col min="2837" max="2837" width="10.5546875" style="123" customWidth="1"/>
    <col min="2838" max="2838" width="10.44140625" style="123" customWidth="1"/>
    <col min="2839" max="3066" width="8.88671875" style="123"/>
    <col min="3067" max="3067" width="11.5546875" style="123" bestFit="1" customWidth="1"/>
    <col min="3068" max="3068" width="10.88671875" style="123" customWidth="1"/>
    <col min="3069" max="3069" width="11.109375" style="123" bestFit="1" customWidth="1"/>
    <col min="3070" max="3071" width="8.88671875" style="123" bestFit="1"/>
    <col min="3072" max="3072" width="10.33203125" style="123" bestFit="1" customWidth="1"/>
    <col min="3073" max="3073" width="7.88671875" style="123" bestFit="1" customWidth="1"/>
    <col min="3074" max="3074" width="8.88671875" style="123" bestFit="1"/>
    <col min="3075" max="3075" width="9.5546875" style="123" bestFit="1" customWidth="1"/>
    <col min="3076" max="3076" width="13" style="123" customWidth="1"/>
    <col min="3077" max="3080" width="8.88671875" style="123"/>
    <col min="3081" max="3081" width="11.5546875" style="123" customWidth="1"/>
    <col min="3082" max="3082" width="13.33203125" style="123" customWidth="1"/>
    <col min="3083" max="3084" width="8.88671875" style="123"/>
    <col min="3085" max="3085" width="15.44140625" style="123" customWidth="1"/>
    <col min="3086" max="3086" width="11.33203125" style="123" customWidth="1"/>
    <col min="3087" max="3087" width="8.88671875" style="123"/>
    <col min="3088" max="3088" width="13.33203125" style="123" customWidth="1"/>
    <col min="3089" max="3089" width="14.33203125" style="123" customWidth="1"/>
    <col min="3090" max="3090" width="11.6640625" style="123" customWidth="1"/>
    <col min="3091" max="3091" width="8.88671875" style="123"/>
    <col min="3092" max="3092" width="11" style="123" customWidth="1"/>
    <col min="3093" max="3093" width="10.5546875" style="123" customWidth="1"/>
    <col min="3094" max="3094" width="10.44140625" style="123" customWidth="1"/>
    <col min="3095" max="3322" width="8.88671875" style="123"/>
    <col min="3323" max="3323" width="11.5546875" style="123" bestFit="1" customWidth="1"/>
    <col min="3324" max="3324" width="10.88671875" style="123" customWidth="1"/>
    <col min="3325" max="3325" width="11.109375" style="123" bestFit="1" customWidth="1"/>
    <col min="3326" max="3327" width="8.88671875" style="123" bestFit="1"/>
    <col min="3328" max="3328" width="10.33203125" style="123" bestFit="1" customWidth="1"/>
    <col min="3329" max="3329" width="7.88671875" style="123" bestFit="1" customWidth="1"/>
    <col min="3330" max="3330" width="8.88671875" style="123" bestFit="1"/>
    <col min="3331" max="3331" width="9.5546875" style="123" bestFit="1" customWidth="1"/>
    <col min="3332" max="3332" width="13" style="123" customWidth="1"/>
    <col min="3333" max="3336" width="8.88671875" style="123"/>
    <col min="3337" max="3337" width="11.5546875" style="123" customWidth="1"/>
    <col min="3338" max="3338" width="13.33203125" style="123" customWidth="1"/>
    <col min="3339" max="3340" width="8.88671875" style="123"/>
    <col min="3341" max="3341" width="15.44140625" style="123" customWidth="1"/>
    <col min="3342" max="3342" width="11.33203125" style="123" customWidth="1"/>
    <col min="3343" max="3343" width="8.88671875" style="123"/>
    <col min="3344" max="3344" width="13.33203125" style="123" customWidth="1"/>
    <col min="3345" max="3345" width="14.33203125" style="123" customWidth="1"/>
    <col min="3346" max="3346" width="11.6640625" style="123" customWidth="1"/>
    <col min="3347" max="3347" width="8.88671875" style="123"/>
    <col min="3348" max="3348" width="11" style="123" customWidth="1"/>
    <col min="3349" max="3349" width="10.5546875" style="123" customWidth="1"/>
    <col min="3350" max="3350" width="10.44140625" style="123" customWidth="1"/>
    <col min="3351" max="3578" width="8.88671875" style="123"/>
    <col min="3579" max="3579" width="11.5546875" style="123" bestFit="1" customWidth="1"/>
    <col min="3580" max="3580" width="10.88671875" style="123" customWidth="1"/>
    <col min="3581" max="3581" width="11.109375" style="123" bestFit="1" customWidth="1"/>
    <col min="3582" max="3583" width="8.88671875" style="123" bestFit="1"/>
    <col min="3584" max="3584" width="10.33203125" style="123" bestFit="1" customWidth="1"/>
    <col min="3585" max="3585" width="7.88671875" style="123" bestFit="1" customWidth="1"/>
    <col min="3586" max="3586" width="8.88671875" style="123" bestFit="1"/>
    <col min="3587" max="3587" width="9.5546875" style="123" bestFit="1" customWidth="1"/>
    <col min="3588" max="3588" width="13" style="123" customWidth="1"/>
    <col min="3589" max="3592" width="8.88671875" style="123"/>
    <col min="3593" max="3593" width="11.5546875" style="123" customWidth="1"/>
    <col min="3594" max="3594" width="13.33203125" style="123" customWidth="1"/>
    <col min="3595" max="3596" width="8.88671875" style="123"/>
    <col min="3597" max="3597" width="15.44140625" style="123" customWidth="1"/>
    <col min="3598" max="3598" width="11.33203125" style="123" customWidth="1"/>
    <col min="3599" max="3599" width="8.88671875" style="123"/>
    <col min="3600" max="3600" width="13.33203125" style="123" customWidth="1"/>
    <col min="3601" max="3601" width="14.33203125" style="123" customWidth="1"/>
    <col min="3602" max="3602" width="11.6640625" style="123" customWidth="1"/>
    <col min="3603" max="3603" width="8.88671875" style="123"/>
    <col min="3604" max="3604" width="11" style="123" customWidth="1"/>
    <col min="3605" max="3605" width="10.5546875" style="123" customWidth="1"/>
    <col min="3606" max="3606" width="10.44140625" style="123" customWidth="1"/>
    <col min="3607" max="3834" width="8.88671875" style="123"/>
    <col min="3835" max="3835" width="11.5546875" style="123" bestFit="1" customWidth="1"/>
    <col min="3836" max="3836" width="10.88671875" style="123" customWidth="1"/>
    <col min="3837" max="3837" width="11.109375" style="123" bestFit="1" customWidth="1"/>
    <col min="3838" max="3839" width="8.88671875" style="123" bestFit="1"/>
    <col min="3840" max="3840" width="10.33203125" style="123" bestFit="1" customWidth="1"/>
    <col min="3841" max="3841" width="7.88671875" style="123" bestFit="1" customWidth="1"/>
    <col min="3842" max="3842" width="8.88671875" style="123" bestFit="1"/>
    <col min="3843" max="3843" width="9.5546875" style="123" bestFit="1" customWidth="1"/>
    <col min="3844" max="3844" width="13" style="123" customWidth="1"/>
    <col min="3845" max="3848" width="8.88671875" style="123"/>
    <col min="3849" max="3849" width="11.5546875" style="123" customWidth="1"/>
    <col min="3850" max="3850" width="13.33203125" style="123" customWidth="1"/>
    <col min="3851" max="3852" width="8.88671875" style="123"/>
    <col min="3853" max="3853" width="15.44140625" style="123" customWidth="1"/>
    <col min="3854" max="3854" width="11.33203125" style="123" customWidth="1"/>
    <col min="3855" max="3855" width="8.88671875" style="123"/>
    <col min="3856" max="3856" width="13.33203125" style="123" customWidth="1"/>
    <col min="3857" max="3857" width="14.33203125" style="123" customWidth="1"/>
    <col min="3858" max="3858" width="11.6640625" style="123" customWidth="1"/>
    <col min="3859" max="3859" width="8.88671875" style="123"/>
    <col min="3860" max="3860" width="11" style="123" customWidth="1"/>
    <col min="3861" max="3861" width="10.5546875" style="123" customWidth="1"/>
    <col min="3862" max="3862" width="10.44140625" style="123" customWidth="1"/>
    <col min="3863" max="4090" width="8.88671875" style="123"/>
    <col min="4091" max="4091" width="11.5546875" style="123" bestFit="1" customWidth="1"/>
    <col min="4092" max="4092" width="10.88671875" style="123" customWidth="1"/>
    <col min="4093" max="4093" width="11.109375" style="123" bestFit="1" customWidth="1"/>
    <col min="4094" max="4095" width="8.88671875" style="123" bestFit="1"/>
    <col min="4096" max="4096" width="10.33203125" style="123" bestFit="1" customWidth="1"/>
    <col min="4097" max="4097" width="7.88671875" style="123" bestFit="1" customWidth="1"/>
    <col min="4098" max="4098" width="8.88671875" style="123" bestFit="1"/>
    <col min="4099" max="4099" width="9.5546875" style="123" bestFit="1" customWidth="1"/>
    <col min="4100" max="4100" width="13" style="123" customWidth="1"/>
    <col min="4101" max="4104" width="8.88671875" style="123"/>
    <col min="4105" max="4105" width="11.5546875" style="123" customWidth="1"/>
    <col min="4106" max="4106" width="13.33203125" style="123" customWidth="1"/>
    <col min="4107" max="4108" width="8.88671875" style="123"/>
    <col min="4109" max="4109" width="15.44140625" style="123" customWidth="1"/>
    <col min="4110" max="4110" width="11.33203125" style="123" customWidth="1"/>
    <col min="4111" max="4111" width="8.88671875" style="123"/>
    <col min="4112" max="4112" width="13.33203125" style="123" customWidth="1"/>
    <col min="4113" max="4113" width="14.33203125" style="123" customWidth="1"/>
    <col min="4114" max="4114" width="11.6640625" style="123" customWidth="1"/>
    <col min="4115" max="4115" width="8.88671875" style="123"/>
    <col min="4116" max="4116" width="11" style="123" customWidth="1"/>
    <col min="4117" max="4117" width="10.5546875" style="123" customWidth="1"/>
    <col min="4118" max="4118" width="10.44140625" style="123" customWidth="1"/>
    <col min="4119" max="4346" width="8.88671875" style="123"/>
    <col min="4347" max="4347" width="11.5546875" style="123" bestFit="1" customWidth="1"/>
    <col min="4348" max="4348" width="10.88671875" style="123" customWidth="1"/>
    <col min="4349" max="4349" width="11.109375" style="123" bestFit="1" customWidth="1"/>
    <col min="4350" max="4351" width="8.88671875" style="123" bestFit="1"/>
    <col min="4352" max="4352" width="10.33203125" style="123" bestFit="1" customWidth="1"/>
    <col min="4353" max="4353" width="7.88671875" style="123" bestFit="1" customWidth="1"/>
    <col min="4354" max="4354" width="8.88671875" style="123" bestFit="1"/>
    <col min="4355" max="4355" width="9.5546875" style="123" bestFit="1" customWidth="1"/>
    <col min="4356" max="4356" width="13" style="123" customWidth="1"/>
    <col min="4357" max="4360" width="8.88671875" style="123"/>
    <col min="4361" max="4361" width="11.5546875" style="123" customWidth="1"/>
    <col min="4362" max="4362" width="13.33203125" style="123" customWidth="1"/>
    <col min="4363" max="4364" width="8.88671875" style="123"/>
    <col min="4365" max="4365" width="15.44140625" style="123" customWidth="1"/>
    <col min="4366" max="4366" width="11.33203125" style="123" customWidth="1"/>
    <col min="4367" max="4367" width="8.88671875" style="123"/>
    <col min="4368" max="4368" width="13.33203125" style="123" customWidth="1"/>
    <col min="4369" max="4369" width="14.33203125" style="123" customWidth="1"/>
    <col min="4370" max="4370" width="11.6640625" style="123" customWidth="1"/>
    <col min="4371" max="4371" width="8.88671875" style="123"/>
    <col min="4372" max="4372" width="11" style="123" customWidth="1"/>
    <col min="4373" max="4373" width="10.5546875" style="123" customWidth="1"/>
    <col min="4374" max="4374" width="10.44140625" style="123" customWidth="1"/>
    <col min="4375" max="4602" width="8.88671875" style="123"/>
    <col min="4603" max="4603" width="11.5546875" style="123" bestFit="1" customWidth="1"/>
    <col min="4604" max="4604" width="10.88671875" style="123" customWidth="1"/>
    <col min="4605" max="4605" width="11.109375" style="123" bestFit="1" customWidth="1"/>
    <col min="4606" max="4607" width="8.88671875" style="123" bestFit="1"/>
    <col min="4608" max="4608" width="10.33203125" style="123" bestFit="1" customWidth="1"/>
    <col min="4609" max="4609" width="7.88671875" style="123" bestFit="1" customWidth="1"/>
    <col min="4610" max="4610" width="8.88671875" style="123" bestFit="1"/>
    <col min="4611" max="4611" width="9.5546875" style="123" bestFit="1" customWidth="1"/>
    <col min="4612" max="4612" width="13" style="123" customWidth="1"/>
    <col min="4613" max="4616" width="8.88671875" style="123"/>
    <col min="4617" max="4617" width="11.5546875" style="123" customWidth="1"/>
    <col min="4618" max="4618" width="13.33203125" style="123" customWidth="1"/>
    <col min="4619" max="4620" width="8.88671875" style="123"/>
    <col min="4621" max="4621" width="15.44140625" style="123" customWidth="1"/>
    <col min="4622" max="4622" width="11.33203125" style="123" customWidth="1"/>
    <col min="4623" max="4623" width="8.88671875" style="123"/>
    <col min="4624" max="4624" width="13.33203125" style="123" customWidth="1"/>
    <col min="4625" max="4625" width="14.33203125" style="123" customWidth="1"/>
    <col min="4626" max="4626" width="11.6640625" style="123" customWidth="1"/>
    <col min="4627" max="4627" width="8.88671875" style="123"/>
    <col min="4628" max="4628" width="11" style="123" customWidth="1"/>
    <col min="4629" max="4629" width="10.5546875" style="123" customWidth="1"/>
    <col min="4630" max="4630" width="10.44140625" style="123" customWidth="1"/>
    <col min="4631" max="4858" width="8.88671875" style="123"/>
    <col min="4859" max="4859" width="11.5546875" style="123" bestFit="1" customWidth="1"/>
    <col min="4860" max="4860" width="10.88671875" style="123" customWidth="1"/>
    <col min="4861" max="4861" width="11.109375" style="123" bestFit="1" customWidth="1"/>
    <col min="4862" max="4863" width="8.88671875" style="123" bestFit="1"/>
    <col min="4864" max="4864" width="10.33203125" style="123" bestFit="1" customWidth="1"/>
    <col min="4865" max="4865" width="7.88671875" style="123" bestFit="1" customWidth="1"/>
    <col min="4866" max="4866" width="8.88671875" style="123" bestFit="1"/>
    <col min="4867" max="4867" width="9.5546875" style="123" bestFit="1" customWidth="1"/>
    <col min="4868" max="4868" width="13" style="123" customWidth="1"/>
    <col min="4869" max="4872" width="8.88671875" style="123"/>
    <col min="4873" max="4873" width="11.5546875" style="123" customWidth="1"/>
    <col min="4874" max="4874" width="13.33203125" style="123" customWidth="1"/>
    <col min="4875" max="4876" width="8.88671875" style="123"/>
    <col min="4877" max="4877" width="15.44140625" style="123" customWidth="1"/>
    <col min="4878" max="4878" width="11.33203125" style="123" customWidth="1"/>
    <col min="4879" max="4879" width="8.88671875" style="123"/>
    <col min="4880" max="4880" width="13.33203125" style="123" customWidth="1"/>
    <col min="4881" max="4881" width="14.33203125" style="123" customWidth="1"/>
    <col min="4882" max="4882" width="11.6640625" style="123" customWidth="1"/>
    <col min="4883" max="4883" width="8.88671875" style="123"/>
    <col min="4884" max="4884" width="11" style="123" customWidth="1"/>
    <col min="4885" max="4885" width="10.5546875" style="123" customWidth="1"/>
    <col min="4886" max="4886" width="10.44140625" style="123" customWidth="1"/>
    <col min="4887" max="5114" width="8.88671875" style="123"/>
    <col min="5115" max="5115" width="11.5546875" style="123" bestFit="1" customWidth="1"/>
    <col min="5116" max="5116" width="10.88671875" style="123" customWidth="1"/>
    <col min="5117" max="5117" width="11.109375" style="123" bestFit="1" customWidth="1"/>
    <col min="5118" max="5119" width="8.88671875" style="123" bestFit="1"/>
    <col min="5120" max="5120" width="10.33203125" style="123" bestFit="1" customWidth="1"/>
    <col min="5121" max="5121" width="7.88671875" style="123" bestFit="1" customWidth="1"/>
    <col min="5122" max="5122" width="8.88671875" style="123" bestFit="1"/>
    <col min="5123" max="5123" width="9.5546875" style="123" bestFit="1" customWidth="1"/>
    <col min="5124" max="5124" width="13" style="123" customWidth="1"/>
    <col min="5125" max="5128" width="8.88671875" style="123"/>
    <col min="5129" max="5129" width="11.5546875" style="123" customWidth="1"/>
    <col min="5130" max="5130" width="13.33203125" style="123" customWidth="1"/>
    <col min="5131" max="5132" width="8.88671875" style="123"/>
    <col min="5133" max="5133" width="15.44140625" style="123" customWidth="1"/>
    <col min="5134" max="5134" width="11.33203125" style="123" customWidth="1"/>
    <col min="5135" max="5135" width="8.88671875" style="123"/>
    <col min="5136" max="5136" width="13.33203125" style="123" customWidth="1"/>
    <col min="5137" max="5137" width="14.33203125" style="123" customWidth="1"/>
    <col min="5138" max="5138" width="11.6640625" style="123" customWidth="1"/>
    <col min="5139" max="5139" width="8.88671875" style="123"/>
    <col min="5140" max="5140" width="11" style="123" customWidth="1"/>
    <col min="5141" max="5141" width="10.5546875" style="123" customWidth="1"/>
    <col min="5142" max="5142" width="10.44140625" style="123" customWidth="1"/>
    <col min="5143" max="5370" width="8.88671875" style="123"/>
    <col min="5371" max="5371" width="11.5546875" style="123" bestFit="1" customWidth="1"/>
    <col min="5372" max="5372" width="10.88671875" style="123" customWidth="1"/>
    <col min="5373" max="5373" width="11.109375" style="123" bestFit="1" customWidth="1"/>
    <col min="5374" max="5375" width="8.88671875" style="123" bestFit="1"/>
    <col min="5376" max="5376" width="10.33203125" style="123" bestFit="1" customWidth="1"/>
    <col min="5377" max="5377" width="7.88671875" style="123" bestFit="1" customWidth="1"/>
    <col min="5378" max="5378" width="8.88671875" style="123" bestFit="1"/>
    <col min="5379" max="5379" width="9.5546875" style="123" bestFit="1" customWidth="1"/>
    <col min="5380" max="5380" width="13" style="123" customWidth="1"/>
    <col min="5381" max="5384" width="8.88671875" style="123"/>
    <col min="5385" max="5385" width="11.5546875" style="123" customWidth="1"/>
    <col min="5386" max="5386" width="13.33203125" style="123" customWidth="1"/>
    <col min="5387" max="5388" width="8.88671875" style="123"/>
    <col min="5389" max="5389" width="15.44140625" style="123" customWidth="1"/>
    <col min="5390" max="5390" width="11.33203125" style="123" customWidth="1"/>
    <col min="5391" max="5391" width="8.88671875" style="123"/>
    <col min="5392" max="5392" width="13.33203125" style="123" customWidth="1"/>
    <col min="5393" max="5393" width="14.33203125" style="123" customWidth="1"/>
    <col min="5394" max="5394" width="11.6640625" style="123" customWidth="1"/>
    <col min="5395" max="5395" width="8.88671875" style="123"/>
    <col min="5396" max="5396" width="11" style="123" customWidth="1"/>
    <col min="5397" max="5397" width="10.5546875" style="123" customWidth="1"/>
    <col min="5398" max="5398" width="10.44140625" style="123" customWidth="1"/>
    <col min="5399" max="5626" width="8.88671875" style="123"/>
    <col min="5627" max="5627" width="11.5546875" style="123" bestFit="1" customWidth="1"/>
    <col min="5628" max="5628" width="10.88671875" style="123" customWidth="1"/>
    <col min="5629" max="5629" width="11.109375" style="123" bestFit="1" customWidth="1"/>
    <col min="5630" max="5631" width="8.88671875" style="123" bestFit="1"/>
    <col min="5632" max="5632" width="10.33203125" style="123" bestFit="1" customWidth="1"/>
    <col min="5633" max="5633" width="7.88671875" style="123" bestFit="1" customWidth="1"/>
    <col min="5634" max="5634" width="8.88671875" style="123" bestFit="1"/>
    <col min="5635" max="5635" width="9.5546875" style="123" bestFit="1" customWidth="1"/>
    <col min="5636" max="5636" width="13" style="123" customWidth="1"/>
    <col min="5637" max="5640" width="8.88671875" style="123"/>
    <col min="5641" max="5641" width="11.5546875" style="123" customWidth="1"/>
    <col min="5642" max="5642" width="13.33203125" style="123" customWidth="1"/>
    <col min="5643" max="5644" width="8.88671875" style="123"/>
    <col min="5645" max="5645" width="15.44140625" style="123" customWidth="1"/>
    <col min="5646" max="5646" width="11.33203125" style="123" customWidth="1"/>
    <col min="5647" max="5647" width="8.88671875" style="123"/>
    <col min="5648" max="5648" width="13.33203125" style="123" customWidth="1"/>
    <col min="5649" max="5649" width="14.33203125" style="123" customWidth="1"/>
    <col min="5650" max="5650" width="11.6640625" style="123" customWidth="1"/>
    <col min="5651" max="5651" width="8.88671875" style="123"/>
    <col min="5652" max="5652" width="11" style="123" customWidth="1"/>
    <col min="5653" max="5653" width="10.5546875" style="123" customWidth="1"/>
    <col min="5654" max="5654" width="10.44140625" style="123" customWidth="1"/>
    <col min="5655" max="5882" width="8.88671875" style="123"/>
    <col min="5883" max="5883" width="11.5546875" style="123" bestFit="1" customWidth="1"/>
    <col min="5884" max="5884" width="10.88671875" style="123" customWidth="1"/>
    <col min="5885" max="5885" width="11.109375" style="123" bestFit="1" customWidth="1"/>
    <col min="5886" max="5887" width="8.88671875" style="123" bestFit="1"/>
    <col min="5888" max="5888" width="10.33203125" style="123" bestFit="1" customWidth="1"/>
    <col min="5889" max="5889" width="7.88671875" style="123" bestFit="1" customWidth="1"/>
    <col min="5890" max="5890" width="8.88671875" style="123" bestFit="1"/>
    <col min="5891" max="5891" width="9.5546875" style="123" bestFit="1" customWidth="1"/>
    <col min="5892" max="5892" width="13" style="123" customWidth="1"/>
    <col min="5893" max="5896" width="8.88671875" style="123"/>
    <col min="5897" max="5897" width="11.5546875" style="123" customWidth="1"/>
    <col min="5898" max="5898" width="13.33203125" style="123" customWidth="1"/>
    <col min="5899" max="5900" width="8.88671875" style="123"/>
    <col min="5901" max="5901" width="15.44140625" style="123" customWidth="1"/>
    <col min="5902" max="5902" width="11.33203125" style="123" customWidth="1"/>
    <col min="5903" max="5903" width="8.88671875" style="123"/>
    <col min="5904" max="5904" width="13.33203125" style="123" customWidth="1"/>
    <col min="5905" max="5905" width="14.33203125" style="123" customWidth="1"/>
    <col min="5906" max="5906" width="11.6640625" style="123" customWidth="1"/>
    <col min="5907" max="5907" width="8.88671875" style="123"/>
    <col min="5908" max="5908" width="11" style="123" customWidth="1"/>
    <col min="5909" max="5909" width="10.5546875" style="123" customWidth="1"/>
    <col min="5910" max="5910" width="10.44140625" style="123" customWidth="1"/>
    <col min="5911" max="6138" width="8.88671875" style="123"/>
    <col min="6139" max="6139" width="11.5546875" style="123" bestFit="1" customWidth="1"/>
    <col min="6140" max="6140" width="10.88671875" style="123" customWidth="1"/>
    <col min="6141" max="6141" width="11.109375" style="123" bestFit="1" customWidth="1"/>
    <col min="6142" max="6143" width="8.88671875" style="123" bestFit="1"/>
    <col min="6144" max="6144" width="10.33203125" style="123" bestFit="1" customWidth="1"/>
    <col min="6145" max="6145" width="7.88671875" style="123" bestFit="1" customWidth="1"/>
    <col min="6146" max="6146" width="8.88671875" style="123" bestFit="1"/>
    <col min="6147" max="6147" width="9.5546875" style="123" bestFit="1" customWidth="1"/>
    <col min="6148" max="6148" width="13" style="123" customWidth="1"/>
    <col min="6149" max="6152" width="8.88671875" style="123"/>
    <col min="6153" max="6153" width="11.5546875" style="123" customWidth="1"/>
    <col min="6154" max="6154" width="13.33203125" style="123" customWidth="1"/>
    <col min="6155" max="6156" width="8.88671875" style="123"/>
    <col min="6157" max="6157" width="15.44140625" style="123" customWidth="1"/>
    <col min="6158" max="6158" width="11.33203125" style="123" customWidth="1"/>
    <col min="6159" max="6159" width="8.88671875" style="123"/>
    <col min="6160" max="6160" width="13.33203125" style="123" customWidth="1"/>
    <col min="6161" max="6161" width="14.33203125" style="123" customWidth="1"/>
    <col min="6162" max="6162" width="11.6640625" style="123" customWidth="1"/>
    <col min="6163" max="6163" width="8.88671875" style="123"/>
    <col min="6164" max="6164" width="11" style="123" customWidth="1"/>
    <col min="6165" max="6165" width="10.5546875" style="123" customWidth="1"/>
    <col min="6166" max="6166" width="10.44140625" style="123" customWidth="1"/>
    <col min="6167" max="6394" width="8.88671875" style="123"/>
    <col min="6395" max="6395" width="11.5546875" style="123" bestFit="1" customWidth="1"/>
    <col min="6396" max="6396" width="10.88671875" style="123" customWidth="1"/>
    <col min="6397" max="6397" width="11.109375" style="123" bestFit="1" customWidth="1"/>
    <col min="6398" max="6399" width="8.88671875" style="123" bestFit="1"/>
    <col min="6400" max="6400" width="10.33203125" style="123" bestFit="1" customWidth="1"/>
    <col min="6401" max="6401" width="7.88671875" style="123" bestFit="1" customWidth="1"/>
    <col min="6402" max="6402" width="8.88671875" style="123" bestFit="1"/>
    <col min="6403" max="6403" width="9.5546875" style="123" bestFit="1" customWidth="1"/>
    <col min="6404" max="6404" width="13" style="123" customWidth="1"/>
    <col min="6405" max="6408" width="8.88671875" style="123"/>
    <col min="6409" max="6409" width="11.5546875" style="123" customWidth="1"/>
    <col min="6410" max="6410" width="13.33203125" style="123" customWidth="1"/>
    <col min="6411" max="6412" width="8.88671875" style="123"/>
    <col min="6413" max="6413" width="15.44140625" style="123" customWidth="1"/>
    <col min="6414" max="6414" width="11.33203125" style="123" customWidth="1"/>
    <col min="6415" max="6415" width="8.88671875" style="123"/>
    <col min="6416" max="6416" width="13.33203125" style="123" customWidth="1"/>
    <col min="6417" max="6417" width="14.33203125" style="123" customWidth="1"/>
    <col min="6418" max="6418" width="11.6640625" style="123" customWidth="1"/>
    <col min="6419" max="6419" width="8.88671875" style="123"/>
    <col min="6420" max="6420" width="11" style="123" customWidth="1"/>
    <col min="6421" max="6421" width="10.5546875" style="123" customWidth="1"/>
    <col min="6422" max="6422" width="10.44140625" style="123" customWidth="1"/>
    <col min="6423" max="6650" width="8.88671875" style="123"/>
    <col min="6651" max="6651" width="11.5546875" style="123" bestFit="1" customWidth="1"/>
    <col min="6652" max="6652" width="10.88671875" style="123" customWidth="1"/>
    <col min="6653" max="6653" width="11.109375" style="123" bestFit="1" customWidth="1"/>
    <col min="6654" max="6655" width="8.88671875" style="123" bestFit="1"/>
    <col min="6656" max="6656" width="10.33203125" style="123" bestFit="1" customWidth="1"/>
    <col min="6657" max="6657" width="7.88671875" style="123" bestFit="1" customWidth="1"/>
    <col min="6658" max="6658" width="8.88671875" style="123" bestFit="1"/>
    <col min="6659" max="6659" width="9.5546875" style="123" bestFit="1" customWidth="1"/>
    <col min="6660" max="6660" width="13" style="123" customWidth="1"/>
    <col min="6661" max="6664" width="8.88671875" style="123"/>
    <col min="6665" max="6665" width="11.5546875" style="123" customWidth="1"/>
    <col min="6666" max="6666" width="13.33203125" style="123" customWidth="1"/>
    <col min="6667" max="6668" width="8.88671875" style="123"/>
    <col min="6669" max="6669" width="15.44140625" style="123" customWidth="1"/>
    <col min="6670" max="6670" width="11.33203125" style="123" customWidth="1"/>
    <col min="6671" max="6671" width="8.88671875" style="123"/>
    <col min="6672" max="6672" width="13.33203125" style="123" customWidth="1"/>
    <col min="6673" max="6673" width="14.33203125" style="123" customWidth="1"/>
    <col min="6674" max="6674" width="11.6640625" style="123" customWidth="1"/>
    <col min="6675" max="6675" width="8.88671875" style="123"/>
    <col min="6676" max="6676" width="11" style="123" customWidth="1"/>
    <col min="6677" max="6677" width="10.5546875" style="123" customWidth="1"/>
    <col min="6678" max="6678" width="10.44140625" style="123" customWidth="1"/>
    <col min="6679" max="6906" width="8.88671875" style="123"/>
    <col min="6907" max="6907" width="11.5546875" style="123" bestFit="1" customWidth="1"/>
    <col min="6908" max="6908" width="10.88671875" style="123" customWidth="1"/>
    <col min="6909" max="6909" width="11.109375" style="123" bestFit="1" customWidth="1"/>
    <col min="6910" max="6911" width="8.88671875" style="123" bestFit="1"/>
    <col min="6912" max="6912" width="10.33203125" style="123" bestFit="1" customWidth="1"/>
    <col min="6913" max="6913" width="7.88671875" style="123" bestFit="1" customWidth="1"/>
    <col min="6914" max="6914" width="8.88671875" style="123" bestFit="1"/>
    <col min="6915" max="6915" width="9.5546875" style="123" bestFit="1" customWidth="1"/>
    <col min="6916" max="6916" width="13" style="123" customWidth="1"/>
    <col min="6917" max="6920" width="8.88671875" style="123"/>
    <col min="6921" max="6921" width="11.5546875" style="123" customWidth="1"/>
    <col min="6922" max="6922" width="13.33203125" style="123" customWidth="1"/>
    <col min="6923" max="6924" width="8.88671875" style="123"/>
    <col min="6925" max="6925" width="15.44140625" style="123" customWidth="1"/>
    <col min="6926" max="6926" width="11.33203125" style="123" customWidth="1"/>
    <col min="6927" max="6927" width="8.88671875" style="123"/>
    <col min="6928" max="6928" width="13.33203125" style="123" customWidth="1"/>
    <col min="6929" max="6929" width="14.33203125" style="123" customWidth="1"/>
    <col min="6930" max="6930" width="11.6640625" style="123" customWidth="1"/>
    <col min="6931" max="6931" width="8.88671875" style="123"/>
    <col min="6932" max="6932" width="11" style="123" customWidth="1"/>
    <col min="6933" max="6933" width="10.5546875" style="123" customWidth="1"/>
    <col min="6934" max="6934" width="10.44140625" style="123" customWidth="1"/>
    <col min="6935" max="7162" width="8.88671875" style="123"/>
    <col min="7163" max="7163" width="11.5546875" style="123" bestFit="1" customWidth="1"/>
    <col min="7164" max="7164" width="10.88671875" style="123" customWidth="1"/>
    <col min="7165" max="7165" width="11.109375" style="123" bestFit="1" customWidth="1"/>
    <col min="7166" max="7167" width="8.88671875" style="123" bestFit="1"/>
    <col min="7168" max="7168" width="10.33203125" style="123" bestFit="1" customWidth="1"/>
    <col min="7169" max="7169" width="7.88671875" style="123" bestFit="1" customWidth="1"/>
    <col min="7170" max="7170" width="8.88671875" style="123" bestFit="1"/>
    <col min="7171" max="7171" width="9.5546875" style="123" bestFit="1" customWidth="1"/>
    <col min="7172" max="7172" width="13" style="123" customWidth="1"/>
    <col min="7173" max="7176" width="8.88671875" style="123"/>
    <col min="7177" max="7177" width="11.5546875" style="123" customWidth="1"/>
    <col min="7178" max="7178" width="13.33203125" style="123" customWidth="1"/>
    <col min="7179" max="7180" width="8.88671875" style="123"/>
    <col min="7181" max="7181" width="15.44140625" style="123" customWidth="1"/>
    <col min="7182" max="7182" width="11.33203125" style="123" customWidth="1"/>
    <col min="7183" max="7183" width="8.88671875" style="123"/>
    <col min="7184" max="7184" width="13.33203125" style="123" customWidth="1"/>
    <col min="7185" max="7185" width="14.33203125" style="123" customWidth="1"/>
    <col min="7186" max="7186" width="11.6640625" style="123" customWidth="1"/>
    <col min="7187" max="7187" width="8.88671875" style="123"/>
    <col min="7188" max="7188" width="11" style="123" customWidth="1"/>
    <col min="7189" max="7189" width="10.5546875" style="123" customWidth="1"/>
    <col min="7190" max="7190" width="10.44140625" style="123" customWidth="1"/>
    <col min="7191" max="7418" width="8.88671875" style="123"/>
    <col min="7419" max="7419" width="11.5546875" style="123" bestFit="1" customWidth="1"/>
    <col min="7420" max="7420" width="10.88671875" style="123" customWidth="1"/>
    <col min="7421" max="7421" width="11.109375" style="123" bestFit="1" customWidth="1"/>
    <col min="7422" max="7423" width="8.88671875" style="123" bestFit="1"/>
    <col min="7424" max="7424" width="10.33203125" style="123" bestFit="1" customWidth="1"/>
    <col min="7425" max="7425" width="7.88671875" style="123" bestFit="1" customWidth="1"/>
    <col min="7426" max="7426" width="8.88671875" style="123" bestFit="1"/>
    <col min="7427" max="7427" width="9.5546875" style="123" bestFit="1" customWidth="1"/>
    <col min="7428" max="7428" width="13" style="123" customWidth="1"/>
    <col min="7429" max="7432" width="8.88671875" style="123"/>
    <col min="7433" max="7433" width="11.5546875" style="123" customWidth="1"/>
    <col min="7434" max="7434" width="13.33203125" style="123" customWidth="1"/>
    <col min="7435" max="7436" width="8.88671875" style="123"/>
    <col min="7437" max="7437" width="15.44140625" style="123" customWidth="1"/>
    <col min="7438" max="7438" width="11.33203125" style="123" customWidth="1"/>
    <col min="7439" max="7439" width="8.88671875" style="123"/>
    <col min="7440" max="7440" width="13.33203125" style="123" customWidth="1"/>
    <col min="7441" max="7441" width="14.33203125" style="123" customWidth="1"/>
    <col min="7442" max="7442" width="11.6640625" style="123" customWidth="1"/>
    <col min="7443" max="7443" width="8.88671875" style="123"/>
    <col min="7444" max="7444" width="11" style="123" customWidth="1"/>
    <col min="7445" max="7445" width="10.5546875" style="123" customWidth="1"/>
    <col min="7446" max="7446" width="10.44140625" style="123" customWidth="1"/>
    <col min="7447" max="7674" width="8.88671875" style="123"/>
    <col min="7675" max="7675" width="11.5546875" style="123" bestFit="1" customWidth="1"/>
    <col min="7676" max="7676" width="10.88671875" style="123" customWidth="1"/>
    <col min="7677" max="7677" width="11.109375" style="123" bestFit="1" customWidth="1"/>
    <col min="7678" max="7679" width="8.88671875" style="123" bestFit="1"/>
    <col min="7680" max="7680" width="10.33203125" style="123" bestFit="1" customWidth="1"/>
    <col min="7681" max="7681" width="7.88671875" style="123" bestFit="1" customWidth="1"/>
    <col min="7682" max="7682" width="8.88671875" style="123" bestFit="1"/>
    <col min="7683" max="7683" width="9.5546875" style="123" bestFit="1" customWidth="1"/>
    <col min="7684" max="7684" width="13" style="123" customWidth="1"/>
    <col min="7685" max="7688" width="8.88671875" style="123"/>
    <col min="7689" max="7689" width="11.5546875" style="123" customWidth="1"/>
    <col min="7690" max="7690" width="13.33203125" style="123" customWidth="1"/>
    <col min="7691" max="7692" width="8.88671875" style="123"/>
    <col min="7693" max="7693" width="15.44140625" style="123" customWidth="1"/>
    <col min="7694" max="7694" width="11.33203125" style="123" customWidth="1"/>
    <col min="7695" max="7695" width="8.88671875" style="123"/>
    <col min="7696" max="7696" width="13.33203125" style="123" customWidth="1"/>
    <col min="7697" max="7697" width="14.33203125" style="123" customWidth="1"/>
    <col min="7698" max="7698" width="11.6640625" style="123" customWidth="1"/>
    <col min="7699" max="7699" width="8.88671875" style="123"/>
    <col min="7700" max="7700" width="11" style="123" customWidth="1"/>
    <col min="7701" max="7701" width="10.5546875" style="123" customWidth="1"/>
    <col min="7702" max="7702" width="10.44140625" style="123" customWidth="1"/>
    <col min="7703" max="7930" width="8.88671875" style="123"/>
    <col min="7931" max="7931" width="11.5546875" style="123" bestFit="1" customWidth="1"/>
    <col min="7932" max="7932" width="10.88671875" style="123" customWidth="1"/>
    <col min="7933" max="7933" width="11.109375" style="123" bestFit="1" customWidth="1"/>
    <col min="7934" max="7935" width="8.88671875" style="123" bestFit="1"/>
    <col min="7936" max="7936" width="10.33203125" style="123" bestFit="1" customWidth="1"/>
    <col min="7937" max="7937" width="7.88671875" style="123" bestFit="1" customWidth="1"/>
    <col min="7938" max="7938" width="8.88671875" style="123" bestFit="1"/>
    <col min="7939" max="7939" width="9.5546875" style="123" bestFit="1" customWidth="1"/>
    <col min="7940" max="7940" width="13" style="123" customWidth="1"/>
    <col min="7941" max="7944" width="8.88671875" style="123"/>
    <col min="7945" max="7945" width="11.5546875" style="123" customWidth="1"/>
    <col min="7946" max="7946" width="13.33203125" style="123" customWidth="1"/>
    <col min="7947" max="7948" width="8.88671875" style="123"/>
    <col min="7949" max="7949" width="15.44140625" style="123" customWidth="1"/>
    <col min="7950" max="7950" width="11.33203125" style="123" customWidth="1"/>
    <col min="7951" max="7951" width="8.88671875" style="123"/>
    <col min="7952" max="7952" width="13.33203125" style="123" customWidth="1"/>
    <col min="7953" max="7953" width="14.33203125" style="123" customWidth="1"/>
    <col min="7954" max="7954" width="11.6640625" style="123" customWidth="1"/>
    <col min="7955" max="7955" width="8.88671875" style="123"/>
    <col min="7956" max="7956" width="11" style="123" customWidth="1"/>
    <col min="7957" max="7957" width="10.5546875" style="123" customWidth="1"/>
    <col min="7958" max="7958" width="10.44140625" style="123" customWidth="1"/>
    <col min="7959" max="8186" width="8.88671875" style="123"/>
    <col min="8187" max="8187" width="11.5546875" style="123" bestFit="1" customWidth="1"/>
    <col min="8188" max="8188" width="10.88671875" style="123" customWidth="1"/>
    <col min="8189" max="8189" width="11.109375" style="123" bestFit="1" customWidth="1"/>
    <col min="8190" max="8191" width="8.88671875" style="123" bestFit="1"/>
    <col min="8192" max="8192" width="10.33203125" style="123" bestFit="1" customWidth="1"/>
    <col min="8193" max="8193" width="7.88671875" style="123" bestFit="1" customWidth="1"/>
    <col min="8194" max="8194" width="8.88671875" style="123" bestFit="1"/>
    <col min="8195" max="8195" width="9.5546875" style="123" bestFit="1" customWidth="1"/>
    <col min="8196" max="8196" width="13" style="123" customWidth="1"/>
    <col min="8197" max="8200" width="8.88671875" style="123"/>
    <col min="8201" max="8201" width="11.5546875" style="123" customWidth="1"/>
    <col min="8202" max="8202" width="13.33203125" style="123" customWidth="1"/>
    <col min="8203" max="8204" width="8.88671875" style="123"/>
    <col min="8205" max="8205" width="15.44140625" style="123" customWidth="1"/>
    <col min="8206" max="8206" width="11.33203125" style="123" customWidth="1"/>
    <col min="8207" max="8207" width="8.88671875" style="123"/>
    <col min="8208" max="8208" width="13.33203125" style="123" customWidth="1"/>
    <col min="8209" max="8209" width="14.33203125" style="123" customWidth="1"/>
    <col min="8210" max="8210" width="11.6640625" style="123" customWidth="1"/>
    <col min="8211" max="8211" width="8.88671875" style="123"/>
    <col min="8212" max="8212" width="11" style="123" customWidth="1"/>
    <col min="8213" max="8213" width="10.5546875" style="123" customWidth="1"/>
    <col min="8214" max="8214" width="10.44140625" style="123" customWidth="1"/>
    <col min="8215" max="8442" width="8.88671875" style="123"/>
    <col min="8443" max="8443" width="11.5546875" style="123" bestFit="1" customWidth="1"/>
    <col min="8444" max="8444" width="10.88671875" style="123" customWidth="1"/>
    <col min="8445" max="8445" width="11.109375" style="123" bestFit="1" customWidth="1"/>
    <col min="8446" max="8447" width="8.88671875" style="123" bestFit="1"/>
    <col min="8448" max="8448" width="10.33203125" style="123" bestFit="1" customWidth="1"/>
    <col min="8449" max="8449" width="7.88671875" style="123" bestFit="1" customWidth="1"/>
    <col min="8450" max="8450" width="8.88671875" style="123" bestFit="1"/>
    <col min="8451" max="8451" width="9.5546875" style="123" bestFit="1" customWidth="1"/>
    <col min="8452" max="8452" width="13" style="123" customWidth="1"/>
    <col min="8453" max="8456" width="8.88671875" style="123"/>
    <col min="8457" max="8457" width="11.5546875" style="123" customWidth="1"/>
    <col min="8458" max="8458" width="13.33203125" style="123" customWidth="1"/>
    <col min="8459" max="8460" width="8.88671875" style="123"/>
    <col min="8461" max="8461" width="15.44140625" style="123" customWidth="1"/>
    <col min="8462" max="8462" width="11.33203125" style="123" customWidth="1"/>
    <col min="8463" max="8463" width="8.88671875" style="123"/>
    <col min="8464" max="8464" width="13.33203125" style="123" customWidth="1"/>
    <col min="8465" max="8465" width="14.33203125" style="123" customWidth="1"/>
    <col min="8466" max="8466" width="11.6640625" style="123" customWidth="1"/>
    <col min="8467" max="8467" width="8.88671875" style="123"/>
    <col min="8468" max="8468" width="11" style="123" customWidth="1"/>
    <col min="8469" max="8469" width="10.5546875" style="123" customWidth="1"/>
    <col min="8470" max="8470" width="10.44140625" style="123" customWidth="1"/>
    <col min="8471" max="8698" width="8.88671875" style="123"/>
    <col min="8699" max="8699" width="11.5546875" style="123" bestFit="1" customWidth="1"/>
    <col min="8700" max="8700" width="10.88671875" style="123" customWidth="1"/>
    <col min="8701" max="8701" width="11.109375" style="123" bestFit="1" customWidth="1"/>
    <col min="8702" max="8703" width="8.88671875" style="123" bestFit="1"/>
    <col min="8704" max="8704" width="10.33203125" style="123" bestFit="1" customWidth="1"/>
    <col min="8705" max="8705" width="7.88671875" style="123" bestFit="1" customWidth="1"/>
    <col min="8706" max="8706" width="8.88671875" style="123" bestFit="1"/>
    <col min="8707" max="8707" width="9.5546875" style="123" bestFit="1" customWidth="1"/>
    <col min="8708" max="8708" width="13" style="123" customWidth="1"/>
    <col min="8709" max="8712" width="8.88671875" style="123"/>
    <col min="8713" max="8713" width="11.5546875" style="123" customWidth="1"/>
    <col min="8714" max="8714" width="13.33203125" style="123" customWidth="1"/>
    <col min="8715" max="8716" width="8.88671875" style="123"/>
    <col min="8717" max="8717" width="15.44140625" style="123" customWidth="1"/>
    <col min="8718" max="8718" width="11.33203125" style="123" customWidth="1"/>
    <col min="8719" max="8719" width="8.88671875" style="123"/>
    <col min="8720" max="8720" width="13.33203125" style="123" customWidth="1"/>
    <col min="8721" max="8721" width="14.33203125" style="123" customWidth="1"/>
    <col min="8722" max="8722" width="11.6640625" style="123" customWidth="1"/>
    <col min="8723" max="8723" width="8.88671875" style="123"/>
    <col min="8724" max="8724" width="11" style="123" customWidth="1"/>
    <col min="8725" max="8725" width="10.5546875" style="123" customWidth="1"/>
    <col min="8726" max="8726" width="10.44140625" style="123" customWidth="1"/>
    <col min="8727" max="8954" width="8.88671875" style="123"/>
    <col min="8955" max="8955" width="11.5546875" style="123" bestFit="1" customWidth="1"/>
    <col min="8956" max="8956" width="10.88671875" style="123" customWidth="1"/>
    <col min="8957" max="8957" width="11.109375" style="123" bestFit="1" customWidth="1"/>
    <col min="8958" max="8959" width="8.88671875" style="123" bestFit="1"/>
    <col min="8960" max="8960" width="10.33203125" style="123" bestFit="1" customWidth="1"/>
    <col min="8961" max="8961" width="7.88671875" style="123" bestFit="1" customWidth="1"/>
    <col min="8962" max="8962" width="8.88671875" style="123" bestFit="1"/>
    <col min="8963" max="8963" width="9.5546875" style="123" bestFit="1" customWidth="1"/>
    <col min="8964" max="8964" width="13" style="123" customWidth="1"/>
    <col min="8965" max="8968" width="8.88671875" style="123"/>
    <col min="8969" max="8969" width="11.5546875" style="123" customWidth="1"/>
    <col min="8970" max="8970" width="13.33203125" style="123" customWidth="1"/>
    <col min="8971" max="8972" width="8.88671875" style="123"/>
    <col min="8973" max="8973" width="15.44140625" style="123" customWidth="1"/>
    <col min="8974" max="8974" width="11.33203125" style="123" customWidth="1"/>
    <col min="8975" max="8975" width="8.88671875" style="123"/>
    <col min="8976" max="8976" width="13.33203125" style="123" customWidth="1"/>
    <col min="8977" max="8977" width="14.33203125" style="123" customWidth="1"/>
    <col min="8978" max="8978" width="11.6640625" style="123" customWidth="1"/>
    <col min="8979" max="8979" width="8.88671875" style="123"/>
    <col min="8980" max="8980" width="11" style="123" customWidth="1"/>
    <col min="8981" max="8981" width="10.5546875" style="123" customWidth="1"/>
    <col min="8982" max="8982" width="10.44140625" style="123" customWidth="1"/>
    <col min="8983" max="9210" width="8.88671875" style="123"/>
    <col min="9211" max="9211" width="11.5546875" style="123" bestFit="1" customWidth="1"/>
    <col min="9212" max="9212" width="10.88671875" style="123" customWidth="1"/>
    <col min="9213" max="9213" width="11.109375" style="123" bestFit="1" customWidth="1"/>
    <col min="9214" max="9215" width="8.88671875" style="123" bestFit="1"/>
    <col min="9216" max="9216" width="10.33203125" style="123" bestFit="1" customWidth="1"/>
    <col min="9217" max="9217" width="7.88671875" style="123" bestFit="1" customWidth="1"/>
    <col min="9218" max="9218" width="8.88671875" style="123" bestFit="1"/>
    <col min="9219" max="9219" width="9.5546875" style="123" bestFit="1" customWidth="1"/>
    <col min="9220" max="9220" width="13" style="123" customWidth="1"/>
    <col min="9221" max="9224" width="8.88671875" style="123"/>
    <col min="9225" max="9225" width="11.5546875" style="123" customWidth="1"/>
    <col min="9226" max="9226" width="13.33203125" style="123" customWidth="1"/>
    <col min="9227" max="9228" width="8.88671875" style="123"/>
    <col min="9229" max="9229" width="15.44140625" style="123" customWidth="1"/>
    <col min="9230" max="9230" width="11.33203125" style="123" customWidth="1"/>
    <col min="9231" max="9231" width="8.88671875" style="123"/>
    <col min="9232" max="9232" width="13.33203125" style="123" customWidth="1"/>
    <col min="9233" max="9233" width="14.33203125" style="123" customWidth="1"/>
    <col min="9234" max="9234" width="11.6640625" style="123" customWidth="1"/>
    <col min="9235" max="9235" width="8.88671875" style="123"/>
    <col min="9236" max="9236" width="11" style="123" customWidth="1"/>
    <col min="9237" max="9237" width="10.5546875" style="123" customWidth="1"/>
    <col min="9238" max="9238" width="10.44140625" style="123" customWidth="1"/>
    <col min="9239" max="9466" width="8.88671875" style="123"/>
    <col min="9467" max="9467" width="11.5546875" style="123" bestFit="1" customWidth="1"/>
    <col min="9468" max="9468" width="10.88671875" style="123" customWidth="1"/>
    <col min="9469" max="9469" width="11.109375" style="123" bestFit="1" customWidth="1"/>
    <col min="9470" max="9471" width="8.88671875" style="123" bestFit="1"/>
    <col min="9472" max="9472" width="10.33203125" style="123" bestFit="1" customWidth="1"/>
    <col min="9473" max="9473" width="7.88671875" style="123" bestFit="1" customWidth="1"/>
    <col min="9474" max="9474" width="8.88671875" style="123" bestFit="1"/>
    <col min="9475" max="9475" width="9.5546875" style="123" bestFit="1" customWidth="1"/>
    <col min="9476" max="9476" width="13" style="123" customWidth="1"/>
    <col min="9477" max="9480" width="8.88671875" style="123"/>
    <col min="9481" max="9481" width="11.5546875" style="123" customWidth="1"/>
    <col min="9482" max="9482" width="13.33203125" style="123" customWidth="1"/>
    <col min="9483" max="9484" width="8.88671875" style="123"/>
    <col min="9485" max="9485" width="15.44140625" style="123" customWidth="1"/>
    <col min="9486" max="9486" width="11.33203125" style="123" customWidth="1"/>
    <col min="9487" max="9487" width="8.88671875" style="123"/>
    <col min="9488" max="9488" width="13.33203125" style="123" customWidth="1"/>
    <col min="9489" max="9489" width="14.33203125" style="123" customWidth="1"/>
    <col min="9490" max="9490" width="11.6640625" style="123" customWidth="1"/>
    <col min="9491" max="9491" width="8.88671875" style="123"/>
    <col min="9492" max="9492" width="11" style="123" customWidth="1"/>
    <col min="9493" max="9493" width="10.5546875" style="123" customWidth="1"/>
    <col min="9494" max="9494" width="10.44140625" style="123" customWidth="1"/>
    <col min="9495" max="9722" width="8.88671875" style="123"/>
    <col min="9723" max="9723" width="11.5546875" style="123" bestFit="1" customWidth="1"/>
    <col min="9724" max="9724" width="10.88671875" style="123" customWidth="1"/>
    <col min="9725" max="9725" width="11.109375" style="123" bestFit="1" customWidth="1"/>
    <col min="9726" max="9727" width="8.88671875" style="123" bestFit="1"/>
    <col min="9728" max="9728" width="10.33203125" style="123" bestFit="1" customWidth="1"/>
    <col min="9729" max="9729" width="7.88671875" style="123" bestFit="1" customWidth="1"/>
    <col min="9730" max="9730" width="8.88671875" style="123" bestFit="1"/>
    <col min="9731" max="9731" width="9.5546875" style="123" bestFit="1" customWidth="1"/>
    <col min="9732" max="9732" width="13" style="123" customWidth="1"/>
    <col min="9733" max="9736" width="8.88671875" style="123"/>
    <col min="9737" max="9737" width="11.5546875" style="123" customWidth="1"/>
    <col min="9738" max="9738" width="13.33203125" style="123" customWidth="1"/>
    <col min="9739" max="9740" width="8.88671875" style="123"/>
    <col min="9741" max="9741" width="15.44140625" style="123" customWidth="1"/>
    <col min="9742" max="9742" width="11.33203125" style="123" customWidth="1"/>
    <col min="9743" max="9743" width="8.88671875" style="123"/>
    <col min="9744" max="9744" width="13.33203125" style="123" customWidth="1"/>
    <col min="9745" max="9745" width="14.33203125" style="123" customWidth="1"/>
    <col min="9746" max="9746" width="11.6640625" style="123" customWidth="1"/>
    <col min="9747" max="9747" width="8.88671875" style="123"/>
    <col min="9748" max="9748" width="11" style="123" customWidth="1"/>
    <col min="9749" max="9749" width="10.5546875" style="123" customWidth="1"/>
    <col min="9750" max="9750" width="10.44140625" style="123" customWidth="1"/>
    <col min="9751" max="9978" width="8.88671875" style="123"/>
    <col min="9979" max="9979" width="11.5546875" style="123" bestFit="1" customWidth="1"/>
    <col min="9980" max="9980" width="10.88671875" style="123" customWidth="1"/>
    <col min="9981" max="9981" width="11.109375" style="123" bestFit="1" customWidth="1"/>
    <col min="9982" max="9983" width="8.88671875" style="123" bestFit="1"/>
    <col min="9984" max="9984" width="10.33203125" style="123" bestFit="1" customWidth="1"/>
    <col min="9985" max="9985" width="7.88671875" style="123" bestFit="1" customWidth="1"/>
    <col min="9986" max="9986" width="8.88671875" style="123" bestFit="1"/>
    <col min="9987" max="9987" width="9.5546875" style="123" bestFit="1" customWidth="1"/>
    <col min="9988" max="9988" width="13" style="123" customWidth="1"/>
    <col min="9989" max="9992" width="8.88671875" style="123"/>
    <col min="9993" max="9993" width="11.5546875" style="123" customWidth="1"/>
    <col min="9994" max="9994" width="13.33203125" style="123" customWidth="1"/>
    <col min="9995" max="9996" width="8.88671875" style="123"/>
    <col min="9997" max="9997" width="15.44140625" style="123" customWidth="1"/>
    <col min="9998" max="9998" width="11.33203125" style="123" customWidth="1"/>
    <col min="9999" max="9999" width="8.88671875" style="123"/>
    <col min="10000" max="10000" width="13.33203125" style="123" customWidth="1"/>
    <col min="10001" max="10001" width="14.33203125" style="123" customWidth="1"/>
    <col min="10002" max="10002" width="11.6640625" style="123" customWidth="1"/>
    <col min="10003" max="10003" width="8.88671875" style="123"/>
    <col min="10004" max="10004" width="11" style="123" customWidth="1"/>
    <col min="10005" max="10005" width="10.5546875" style="123" customWidth="1"/>
    <col min="10006" max="10006" width="10.44140625" style="123" customWidth="1"/>
    <col min="10007" max="10234" width="8.88671875" style="123"/>
    <col min="10235" max="10235" width="11.5546875" style="123" bestFit="1" customWidth="1"/>
    <col min="10236" max="10236" width="10.88671875" style="123" customWidth="1"/>
    <col min="10237" max="10237" width="11.109375" style="123" bestFit="1" customWidth="1"/>
    <col min="10238" max="10239" width="8.88671875" style="123" bestFit="1"/>
    <col min="10240" max="10240" width="10.33203125" style="123" bestFit="1" customWidth="1"/>
    <col min="10241" max="10241" width="7.88671875" style="123" bestFit="1" customWidth="1"/>
    <col min="10242" max="10242" width="8.88671875" style="123" bestFit="1"/>
    <col min="10243" max="10243" width="9.5546875" style="123" bestFit="1" customWidth="1"/>
    <col min="10244" max="10244" width="13" style="123" customWidth="1"/>
    <col min="10245" max="10248" width="8.88671875" style="123"/>
    <col min="10249" max="10249" width="11.5546875" style="123" customWidth="1"/>
    <col min="10250" max="10250" width="13.33203125" style="123" customWidth="1"/>
    <col min="10251" max="10252" width="8.88671875" style="123"/>
    <col min="10253" max="10253" width="15.44140625" style="123" customWidth="1"/>
    <col min="10254" max="10254" width="11.33203125" style="123" customWidth="1"/>
    <col min="10255" max="10255" width="8.88671875" style="123"/>
    <col min="10256" max="10256" width="13.33203125" style="123" customWidth="1"/>
    <col min="10257" max="10257" width="14.33203125" style="123" customWidth="1"/>
    <col min="10258" max="10258" width="11.6640625" style="123" customWidth="1"/>
    <col min="10259" max="10259" width="8.88671875" style="123"/>
    <col min="10260" max="10260" width="11" style="123" customWidth="1"/>
    <col min="10261" max="10261" width="10.5546875" style="123" customWidth="1"/>
    <col min="10262" max="10262" width="10.44140625" style="123" customWidth="1"/>
    <col min="10263" max="10490" width="8.88671875" style="123"/>
    <col min="10491" max="10491" width="11.5546875" style="123" bestFit="1" customWidth="1"/>
    <col min="10492" max="10492" width="10.88671875" style="123" customWidth="1"/>
    <col min="10493" max="10493" width="11.109375" style="123" bestFit="1" customWidth="1"/>
    <col min="10494" max="10495" width="8.88671875" style="123" bestFit="1"/>
    <col min="10496" max="10496" width="10.33203125" style="123" bestFit="1" customWidth="1"/>
    <col min="10497" max="10497" width="7.88671875" style="123" bestFit="1" customWidth="1"/>
    <col min="10498" max="10498" width="8.88671875" style="123" bestFit="1"/>
    <col min="10499" max="10499" width="9.5546875" style="123" bestFit="1" customWidth="1"/>
    <col min="10500" max="10500" width="13" style="123" customWidth="1"/>
    <col min="10501" max="10504" width="8.88671875" style="123"/>
    <col min="10505" max="10505" width="11.5546875" style="123" customWidth="1"/>
    <col min="10506" max="10506" width="13.33203125" style="123" customWidth="1"/>
    <col min="10507" max="10508" width="8.88671875" style="123"/>
    <col min="10509" max="10509" width="15.44140625" style="123" customWidth="1"/>
    <col min="10510" max="10510" width="11.33203125" style="123" customWidth="1"/>
    <col min="10511" max="10511" width="8.88671875" style="123"/>
    <col min="10512" max="10512" width="13.33203125" style="123" customWidth="1"/>
    <col min="10513" max="10513" width="14.33203125" style="123" customWidth="1"/>
    <col min="10514" max="10514" width="11.6640625" style="123" customWidth="1"/>
    <col min="10515" max="10515" width="8.88671875" style="123"/>
    <col min="10516" max="10516" width="11" style="123" customWidth="1"/>
    <col min="10517" max="10517" width="10.5546875" style="123" customWidth="1"/>
    <col min="10518" max="10518" width="10.44140625" style="123" customWidth="1"/>
    <col min="10519" max="10746" width="8.88671875" style="123"/>
    <col min="10747" max="10747" width="11.5546875" style="123" bestFit="1" customWidth="1"/>
    <col min="10748" max="10748" width="10.88671875" style="123" customWidth="1"/>
    <col min="10749" max="10749" width="11.109375" style="123" bestFit="1" customWidth="1"/>
    <col min="10750" max="10751" width="8.88671875" style="123" bestFit="1"/>
    <col min="10752" max="10752" width="10.33203125" style="123" bestFit="1" customWidth="1"/>
    <col min="10753" max="10753" width="7.88671875" style="123" bestFit="1" customWidth="1"/>
    <col min="10754" max="10754" width="8.88671875" style="123" bestFit="1"/>
    <col min="10755" max="10755" width="9.5546875" style="123" bestFit="1" customWidth="1"/>
    <col min="10756" max="10756" width="13" style="123" customWidth="1"/>
    <col min="10757" max="10760" width="8.88671875" style="123"/>
    <col min="10761" max="10761" width="11.5546875" style="123" customWidth="1"/>
    <col min="10762" max="10762" width="13.33203125" style="123" customWidth="1"/>
    <col min="10763" max="10764" width="8.88671875" style="123"/>
    <col min="10765" max="10765" width="15.44140625" style="123" customWidth="1"/>
    <col min="10766" max="10766" width="11.33203125" style="123" customWidth="1"/>
    <col min="10767" max="10767" width="8.88671875" style="123"/>
    <col min="10768" max="10768" width="13.33203125" style="123" customWidth="1"/>
    <col min="10769" max="10769" width="14.33203125" style="123" customWidth="1"/>
    <col min="10770" max="10770" width="11.6640625" style="123" customWidth="1"/>
    <col min="10771" max="10771" width="8.88671875" style="123"/>
    <col min="10772" max="10772" width="11" style="123" customWidth="1"/>
    <col min="10773" max="10773" width="10.5546875" style="123" customWidth="1"/>
    <col min="10774" max="10774" width="10.44140625" style="123" customWidth="1"/>
    <col min="10775" max="11002" width="8.88671875" style="123"/>
    <col min="11003" max="11003" width="11.5546875" style="123" bestFit="1" customWidth="1"/>
    <col min="11004" max="11004" width="10.88671875" style="123" customWidth="1"/>
    <col min="11005" max="11005" width="11.109375" style="123" bestFit="1" customWidth="1"/>
    <col min="11006" max="11007" width="8.88671875" style="123" bestFit="1"/>
    <col min="11008" max="11008" width="10.33203125" style="123" bestFit="1" customWidth="1"/>
    <col min="11009" max="11009" width="7.88671875" style="123" bestFit="1" customWidth="1"/>
    <col min="11010" max="11010" width="8.88671875" style="123" bestFit="1"/>
    <col min="11011" max="11011" width="9.5546875" style="123" bestFit="1" customWidth="1"/>
    <col min="11012" max="11012" width="13" style="123" customWidth="1"/>
    <col min="11013" max="11016" width="8.88671875" style="123"/>
    <col min="11017" max="11017" width="11.5546875" style="123" customWidth="1"/>
    <col min="11018" max="11018" width="13.33203125" style="123" customWidth="1"/>
    <col min="11019" max="11020" width="8.88671875" style="123"/>
    <col min="11021" max="11021" width="15.44140625" style="123" customWidth="1"/>
    <col min="11022" max="11022" width="11.33203125" style="123" customWidth="1"/>
    <col min="11023" max="11023" width="8.88671875" style="123"/>
    <col min="11024" max="11024" width="13.33203125" style="123" customWidth="1"/>
    <col min="11025" max="11025" width="14.33203125" style="123" customWidth="1"/>
    <col min="11026" max="11026" width="11.6640625" style="123" customWidth="1"/>
    <col min="11027" max="11027" width="8.88671875" style="123"/>
    <col min="11028" max="11028" width="11" style="123" customWidth="1"/>
    <col min="11029" max="11029" width="10.5546875" style="123" customWidth="1"/>
    <col min="11030" max="11030" width="10.44140625" style="123" customWidth="1"/>
    <col min="11031" max="11258" width="8.88671875" style="123"/>
    <col min="11259" max="11259" width="11.5546875" style="123" bestFit="1" customWidth="1"/>
    <col min="11260" max="11260" width="10.88671875" style="123" customWidth="1"/>
    <col min="11261" max="11261" width="11.109375" style="123" bestFit="1" customWidth="1"/>
    <col min="11262" max="11263" width="8.88671875" style="123" bestFit="1"/>
    <col min="11264" max="11264" width="10.33203125" style="123" bestFit="1" customWidth="1"/>
    <col min="11265" max="11265" width="7.88671875" style="123" bestFit="1" customWidth="1"/>
    <col min="11266" max="11266" width="8.88671875" style="123" bestFit="1"/>
    <col min="11267" max="11267" width="9.5546875" style="123" bestFit="1" customWidth="1"/>
    <col min="11268" max="11268" width="13" style="123" customWidth="1"/>
    <col min="11269" max="11272" width="8.88671875" style="123"/>
    <col min="11273" max="11273" width="11.5546875" style="123" customWidth="1"/>
    <col min="11274" max="11274" width="13.33203125" style="123" customWidth="1"/>
    <col min="11275" max="11276" width="8.88671875" style="123"/>
    <col min="11277" max="11277" width="15.44140625" style="123" customWidth="1"/>
    <col min="11278" max="11278" width="11.33203125" style="123" customWidth="1"/>
    <col min="11279" max="11279" width="8.88671875" style="123"/>
    <col min="11280" max="11280" width="13.33203125" style="123" customWidth="1"/>
    <col min="11281" max="11281" width="14.33203125" style="123" customWidth="1"/>
    <col min="11282" max="11282" width="11.6640625" style="123" customWidth="1"/>
    <col min="11283" max="11283" width="8.88671875" style="123"/>
    <col min="11284" max="11284" width="11" style="123" customWidth="1"/>
    <col min="11285" max="11285" width="10.5546875" style="123" customWidth="1"/>
    <col min="11286" max="11286" width="10.44140625" style="123" customWidth="1"/>
    <col min="11287" max="11514" width="8.88671875" style="123"/>
    <col min="11515" max="11515" width="11.5546875" style="123" bestFit="1" customWidth="1"/>
    <col min="11516" max="11516" width="10.88671875" style="123" customWidth="1"/>
    <col min="11517" max="11517" width="11.109375" style="123" bestFit="1" customWidth="1"/>
    <col min="11518" max="11519" width="8.88671875" style="123" bestFit="1"/>
    <col min="11520" max="11520" width="10.33203125" style="123" bestFit="1" customWidth="1"/>
    <col min="11521" max="11521" width="7.88671875" style="123" bestFit="1" customWidth="1"/>
    <col min="11522" max="11522" width="8.88671875" style="123" bestFit="1"/>
    <col min="11523" max="11523" width="9.5546875" style="123" bestFit="1" customWidth="1"/>
    <col min="11524" max="11524" width="13" style="123" customWidth="1"/>
    <col min="11525" max="11528" width="8.88671875" style="123"/>
    <col min="11529" max="11529" width="11.5546875" style="123" customWidth="1"/>
    <col min="11530" max="11530" width="13.33203125" style="123" customWidth="1"/>
    <col min="11531" max="11532" width="8.88671875" style="123"/>
    <col min="11533" max="11533" width="15.44140625" style="123" customWidth="1"/>
    <col min="11534" max="11534" width="11.33203125" style="123" customWidth="1"/>
    <col min="11535" max="11535" width="8.88671875" style="123"/>
    <col min="11536" max="11536" width="13.33203125" style="123" customWidth="1"/>
    <col min="11537" max="11537" width="14.33203125" style="123" customWidth="1"/>
    <col min="11538" max="11538" width="11.6640625" style="123" customWidth="1"/>
    <col min="11539" max="11539" width="8.88671875" style="123"/>
    <col min="11540" max="11540" width="11" style="123" customWidth="1"/>
    <col min="11541" max="11541" width="10.5546875" style="123" customWidth="1"/>
    <col min="11542" max="11542" width="10.44140625" style="123" customWidth="1"/>
    <col min="11543" max="11770" width="8.88671875" style="123"/>
    <col min="11771" max="11771" width="11.5546875" style="123" bestFit="1" customWidth="1"/>
    <col min="11772" max="11772" width="10.88671875" style="123" customWidth="1"/>
    <col min="11773" max="11773" width="11.109375" style="123" bestFit="1" customWidth="1"/>
    <col min="11774" max="11775" width="8.88671875" style="123" bestFit="1"/>
    <col min="11776" max="11776" width="10.33203125" style="123" bestFit="1" customWidth="1"/>
    <col min="11777" max="11777" width="7.88671875" style="123" bestFit="1" customWidth="1"/>
    <col min="11778" max="11778" width="8.88671875" style="123" bestFit="1"/>
    <col min="11779" max="11779" width="9.5546875" style="123" bestFit="1" customWidth="1"/>
    <col min="11780" max="11780" width="13" style="123" customWidth="1"/>
    <col min="11781" max="11784" width="8.88671875" style="123"/>
    <col min="11785" max="11785" width="11.5546875" style="123" customWidth="1"/>
    <col min="11786" max="11786" width="13.33203125" style="123" customWidth="1"/>
    <col min="11787" max="11788" width="8.88671875" style="123"/>
    <col min="11789" max="11789" width="15.44140625" style="123" customWidth="1"/>
    <col min="11790" max="11790" width="11.33203125" style="123" customWidth="1"/>
    <col min="11791" max="11791" width="8.88671875" style="123"/>
    <col min="11792" max="11792" width="13.33203125" style="123" customWidth="1"/>
    <col min="11793" max="11793" width="14.33203125" style="123" customWidth="1"/>
    <col min="11794" max="11794" width="11.6640625" style="123" customWidth="1"/>
    <col min="11795" max="11795" width="8.88671875" style="123"/>
    <col min="11796" max="11796" width="11" style="123" customWidth="1"/>
    <col min="11797" max="11797" width="10.5546875" style="123" customWidth="1"/>
    <col min="11798" max="11798" width="10.44140625" style="123" customWidth="1"/>
    <col min="11799" max="12026" width="8.88671875" style="123"/>
    <col min="12027" max="12027" width="11.5546875" style="123" bestFit="1" customWidth="1"/>
    <col min="12028" max="12028" width="10.88671875" style="123" customWidth="1"/>
    <col min="12029" max="12029" width="11.109375" style="123" bestFit="1" customWidth="1"/>
    <col min="12030" max="12031" width="8.88671875" style="123" bestFit="1"/>
    <col min="12032" max="12032" width="10.33203125" style="123" bestFit="1" customWidth="1"/>
    <col min="12033" max="12033" width="7.88671875" style="123" bestFit="1" customWidth="1"/>
    <col min="12034" max="12034" width="8.88671875" style="123" bestFit="1"/>
    <col min="12035" max="12035" width="9.5546875" style="123" bestFit="1" customWidth="1"/>
    <col min="12036" max="12036" width="13" style="123" customWidth="1"/>
    <col min="12037" max="12040" width="8.88671875" style="123"/>
    <col min="12041" max="12041" width="11.5546875" style="123" customWidth="1"/>
    <col min="12042" max="12042" width="13.33203125" style="123" customWidth="1"/>
    <col min="12043" max="12044" width="8.88671875" style="123"/>
    <col min="12045" max="12045" width="15.44140625" style="123" customWidth="1"/>
    <col min="12046" max="12046" width="11.33203125" style="123" customWidth="1"/>
    <col min="12047" max="12047" width="8.88671875" style="123"/>
    <col min="12048" max="12048" width="13.33203125" style="123" customWidth="1"/>
    <col min="12049" max="12049" width="14.33203125" style="123" customWidth="1"/>
    <col min="12050" max="12050" width="11.6640625" style="123" customWidth="1"/>
    <col min="12051" max="12051" width="8.88671875" style="123"/>
    <col min="12052" max="12052" width="11" style="123" customWidth="1"/>
    <col min="12053" max="12053" width="10.5546875" style="123" customWidth="1"/>
    <col min="12054" max="12054" width="10.44140625" style="123" customWidth="1"/>
    <col min="12055" max="12282" width="8.88671875" style="123"/>
    <col min="12283" max="12283" width="11.5546875" style="123" bestFit="1" customWidth="1"/>
    <col min="12284" max="12284" width="10.88671875" style="123" customWidth="1"/>
    <col min="12285" max="12285" width="11.109375" style="123" bestFit="1" customWidth="1"/>
    <col min="12286" max="12287" width="8.88671875" style="123" bestFit="1"/>
    <col min="12288" max="12288" width="10.33203125" style="123" bestFit="1" customWidth="1"/>
    <col min="12289" max="12289" width="7.88671875" style="123" bestFit="1" customWidth="1"/>
    <col min="12290" max="12290" width="8.88671875" style="123" bestFit="1"/>
    <col min="12291" max="12291" width="9.5546875" style="123" bestFit="1" customWidth="1"/>
    <col min="12292" max="12292" width="13" style="123" customWidth="1"/>
    <col min="12293" max="12296" width="8.88671875" style="123"/>
    <col min="12297" max="12297" width="11.5546875" style="123" customWidth="1"/>
    <col min="12298" max="12298" width="13.33203125" style="123" customWidth="1"/>
    <col min="12299" max="12300" width="8.88671875" style="123"/>
    <col min="12301" max="12301" width="15.44140625" style="123" customWidth="1"/>
    <col min="12302" max="12302" width="11.33203125" style="123" customWidth="1"/>
    <col min="12303" max="12303" width="8.88671875" style="123"/>
    <col min="12304" max="12304" width="13.33203125" style="123" customWidth="1"/>
    <col min="12305" max="12305" width="14.33203125" style="123" customWidth="1"/>
    <col min="12306" max="12306" width="11.6640625" style="123" customWidth="1"/>
    <col min="12307" max="12307" width="8.88671875" style="123"/>
    <col min="12308" max="12308" width="11" style="123" customWidth="1"/>
    <col min="12309" max="12309" width="10.5546875" style="123" customWidth="1"/>
    <col min="12310" max="12310" width="10.44140625" style="123" customWidth="1"/>
    <col min="12311" max="12538" width="8.88671875" style="123"/>
    <col min="12539" max="12539" width="11.5546875" style="123" bestFit="1" customWidth="1"/>
    <col min="12540" max="12540" width="10.88671875" style="123" customWidth="1"/>
    <col min="12541" max="12541" width="11.109375" style="123" bestFit="1" customWidth="1"/>
    <col min="12542" max="12543" width="8.88671875" style="123" bestFit="1"/>
    <col min="12544" max="12544" width="10.33203125" style="123" bestFit="1" customWidth="1"/>
    <col min="12545" max="12545" width="7.88671875" style="123" bestFit="1" customWidth="1"/>
    <col min="12546" max="12546" width="8.88671875" style="123" bestFit="1"/>
    <col min="12547" max="12547" width="9.5546875" style="123" bestFit="1" customWidth="1"/>
    <col min="12548" max="12548" width="13" style="123" customWidth="1"/>
    <col min="12549" max="12552" width="8.88671875" style="123"/>
    <col min="12553" max="12553" width="11.5546875" style="123" customWidth="1"/>
    <col min="12554" max="12554" width="13.33203125" style="123" customWidth="1"/>
    <col min="12555" max="12556" width="8.88671875" style="123"/>
    <col min="12557" max="12557" width="15.44140625" style="123" customWidth="1"/>
    <col min="12558" max="12558" width="11.33203125" style="123" customWidth="1"/>
    <col min="12559" max="12559" width="8.88671875" style="123"/>
    <col min="12560" max="12560" width="13.33203125" style="123" customWidth="1"/>
    <col min="12561" max="12561" width="14.33203125" style="123" customWidth="1"/>
    <col min="12562" max="12562" width="11.6640625" style="123" customWidth="1"/>
    <col min="12563" max="12563" width="8.88671875" style="123"/>
    <col min="12564" max="12564" width="11" style="123" customWidth="1"/>
    <col min="12565" max="12565" width="10.5546875" style="123" customWidth="1"/>
    <col min="12566" max="12566" width="10.44140625" style="123" customWidth="1"/>
    <col min="12567" max="12794" width="8.88671875" style="123"/>
    <col min="12795" max="12795" width="11.5546875" style="123" bestFit="1" customWidth="1"/>
    <col min="12796" max="12796" width="10.88671875" style="123" customWidth="1"/>
    <col min="12797" max="12797" width="11.109375" style="123" bestFit="1" customWidth="1"/>
    <col min="12798" max="12799" width="8.88671875" style="123" bestFit="1"/>
    <col min="12800" max="12800" width="10.33203125" style="123" bestFit="1" customWidth="1"/>
    <col min="12801" max="12801" width="7.88671875" style="123" bestFit="1" customWidth="1"/>
    <col min="12802" max="12802" width="8.88671875" style="123" bestFit="1"/>
    <col min="12803" max="12803" width="9.5546875" style="123" bestFit="1" customWidth="1"/>
    <col min="12804" max="12804" width="13" style="123" customWidth="1"/>
    <col min="12805" max="12808" width="8.88671875" style="123"/>
    <col min="12809" max="12809" width="11.5546875" style="123" customWidth="1"/>
    <col min="12810" max="12810" width="13.33203125" style="123" customWidth="1"/>
    <col min="12811" max="12812" width="8.88671875" style="123"/>
    <col min="12813" max="12813" width="15.44140625" style="123" customWidth="1"/>
    <col min="12814" max="12814" width="11.33203125" style="123" customWidth="1"/>
    <col min="12815" max="12815" width="8.88671875" style="123"/>
    <col min="12816" max="12816" width="13.33203125" style="123" customWidth="1"/>
    <col min="12817" max="12817" width="14.33203125" style="123" customWidth="1"/>
    <col min="12818" max="12818" width="11.6640625" style="123" customWidth="1"/>
    <col min="12819" max="12819" width="8.88671875" style="123"/>
    <col min="12820" max="12820" width="11" style="123" customWidth="1"/>
    <col min="12821" max="12821" width="10.5546875" style="123" customWidth="1"/>
    <col min="12822" max="12822" width="10.44140625" style="123" customWidth="1"/>
    <col min="12823" max="13050" width="8.88671875" style="123"/>
    <col min="13051" max="13051" width="11.5546875" style="123" bestFit="1" customWidth="1"/>
    <col min="13052" max="13052" width="10.88671875" style="123" customWidth="1"/>
    <col min="13053" max="13053" width="11.109375" style="123" bestFit="1" customWidth="1"/>
    <col min="13054" max="13055" width="8.88671875" style="123" bestFit="1"/>
    <col min="13056" max="13056" width="10.33203125" style="123" bestFit="1" customWidth="1"/>
    <col min="13057" max="13057" width="7.88671875" style="123" bestFit="1" customWidth="1"/>
    <col min="13058" max="13058" width="8.88671875" style="123" bestFit="1"/>
    <col min="13059" max="13059" width="9.5546875" style="123" bestFit="1" customWidth="1"/>
    <col min="13060" max="13060" width="13" style="123" customWidth="1"/>
    <col min="13061" max="13064" width="8.88671875" style="123"/>
    <col min="13065" max="13065" width="11.5546875" style="123" customWidth="1"/>
    <col min="13066" max="13066" width="13.33203125" style="123" customWidth="1"/>
    <col min="13067" max="13068" width="8.88671875" style="123"/>
    <col min="13069" max="13069" width="15.44140625" style="123" customWidth="1"/>
    <col min="13070" max="13070" width="11.33203125" style="123" customWidth="1"/>
    <col min="13071" max="13071" width="8.88671875" style="123"/>
    <col min="13072" max="13072" width="13.33203125" style="123" customWidth="1"/>
    <col min="13073" max="13073" width="14.33203125" style="123" customWidth="1"/>
    <col min="13074" max="13074" width="11.6640625" style="123" customWidth="1"/>
    <col min="13075" max="13075" width="8.88671875" style="123"/>
    <col min="13076" max="13076" width="11" style="123" customWidth="1"/>
    <col min="13077" max="13077" width="10.5546875" style="123" customWidth="1"/>
    <col min="13078" max="13078" width="10.44140625" style="123" customWidth="1"/>
    <col min="13079" max="13306" width="8.88671875" style="123"/>
    <col min="13307" max="13307" width="11.5546875" style="123" bestFit="1" customWidth="1"/>
    <col min="13308" max="13308" width="10.88671875" style="123" customWidth="1"/>
    <col min="13309" max="13309" width="11.109375" style="123" bestFit="1" customWidth="1"/>
    <col min="13310" max="13311" width="8.88671875" style="123" bestFit="1"/>
    <col min="13312" max="13312" width="10.33203125" style="123" bestFit="1" customWidth="1"/>
    <col min="13313" max="13313" width="7.88671875" style="123" bestFit="1" customWidth="1"/>
    <col min="13314" max="13314" width="8.88671875" style="123" bestFit="1"/>
    <col min="13315" max="13315" width="9.5546875" style="123" bestFit="1" customWidth="1"/>
    <col min="13316" max="13316" width="13" style="123" customWidth="1"/>
    <col min="13317" max="13320" width="8.88671875" style="123"/>
    <col min="13321" max="13321" width="11.5546875" style="123" customWidth="1"/>
    <col min="13322" max="13322" width="13.33203125" style="123" customWidth="1"/>
    <col min="13323" max="13324" width="8.88671875" style="123"/>
    <col min="13325" max="13325" width="15.44140625" style="123" customWidth="1"/>
    <col min="13326" max="13326" width="11.33203125" style="123" customWidth="1"/>
    <col min="13327" max="13327" width="8.88671875" style="123"/>
    <col min="13328" max="13328" width="13.33203125" style="123" customWidth="1"/>
    <col min="13329" max="13329" width="14.33203125" style="123" customWidth="1"/>
    <col min="13330" max="13330" width="11.6640625" style="123" customWidth="1"/>
    <col min="13331" max="13331" width="8.88671875" style="123"/>
    <col min="13332" max="13332" width="11" style="123" customWidth="1"/>
    <col min="13333" max="13333" width="10.5546875" style="123" customWidth="1"/>
    <col min="13334" max="13334" width="10.44140625" style="123" customWidth="1"/>
    <col min="13335" max="13562" width="8.88671875" style="123"/>
    <col min="13563" max="13563" width="11.5546875" style="123" bestFit="1" customWidth="1"/>
    <col min="13564" max="13564" width="10.88671875" style="123" customWidth="1"/>
    <col min="13565" max="13565" width="11.109375" style="123" bestFit="1" customWidth="1"/>
    <col min="13566" max="13567" width="8.88671875" style="123" bestFit="1"/>
    <col min="13568" max="13568" width="10.33203125" style="123" bestFit="1" customWidth="1"/>
    <col min="13569" max="13569" width="7.88671875" style="123" bestFit="1" customWidth="1"/>
    <col min="13570" max="13570" width="8.88671875" style="123" bestFit="1"/>
    <col min="13571" max="13571" width="9.5546875" style="123" bestFit="1" customWidth="1"/>
    <col min="13572" max="13572" width="13" style="123" customWidth="1"/>
    <col min="13573" max="13576" width="8.88671875" style="123"/>
    <col min="13577" max="13577" width="11.5546875" style="123" customWidth="1"/>
    <col min="13578" max="13578" width="13.33203125" style="123" customWidth="1"/>
    <col min="13579" max="13580" width="8.88671875" style="123"/>
    <col min="13581" max="13581" width="15.44140625" style="123" customWidth="1"/>
    <col min="13582" max="13582" width="11.33203125" style="123" customWidth="1"/>
    <col min="13583" max="13583" width="8.88671875" style="123"/>
    <col min="13584" max="13584" width="13.33203125" style="123" customWidth="1"/>
    <col min="13585" max="13585" width="14.33203125" style="123" customWidth="1"/>
    <col min="13586" max="13586" width="11.6640625" style="123" customWidth="1"/>
    <col min="13587" max="13587" width="8.88671875" style="123"/>
    <col min="13588" max="13588" width="11" style="123" customWidth="1"/>
    <col min="13589" max="13589" width="10.5546875" style="123" customWidth="1"/>
    <col min="13590" max="13590" width="10.44140625" style="123" customWidth="1"/>
    <col min="13591" max="13818" width="8.88671875" style="123"/>
    <col min="13819" max="13819" width="11.5546875" style="123" bestFit="1" customWidth="1"/>
    <col min="13820" max="13820" width="10.88671875" style="123" customWidth="1"/>
    <col min="13821" max="13821" width="11.109375" style="123" bestFit="1" customWidth="1"/>
    <col min="13822" max="13823" width="8.88671875" style="123" bestFit="1"/>
    <col min="13824" max="13824" width="10.33203125" style="123" bestFit="1" customWidth="1"/>
    <col min="13825" max="13825" width="7.88671875" style="123" bestFit="1" customWidth="1"/>
    <col min="13826" max="13826" width="8.88671875" style="123" bestFit="1"/>
    <col min="13827" max="13827" width="9.5546875" style="123" bestFit="1" customWidth="1"/>
    <col min="13828" max="13828" width="13" style="123" customWidth="1"/>
    <col min="13829" max="13832" width="8.88671875" style="123"/>
    <col min="13833" max="13833" width="11.5546875" style="123" customWidth="1"/>
    <col min="13834" max="13834" width="13.33203125" style="123" customWidth="1"/>
    <col min="13835" max="13836" width="8.88671875" style="123"/>
    <col min="13837" max="13837" width="15.44140625" style="123" customWidth="1"/>
    <col min="13838" max="13838" width="11.33203125" style="123" customWidth="1"/>
    <col min="13839" max="13839" width="8.88671875" style="123"/>
    <col min="13840" max="13840" width="13.33203125" style="123" customWidth="1"/>
    <col min="13841" max="13841" width="14.33203125" style="123" customWidth="1"/>
    <col min="13842" max="13842" width="11.6640625" style="123" customWidth="1"/>
    <col min="13843" max="13843" width="8.88671875" style="123"/>
    <col min="13844" max="13844" width="11" style="123" customWidth="1"/>
    <col min="13845" max="13845" width="10.5546875" style="123" customWidth="1"/>
    <col min="13846" max="13846" width="10.44140625" style="123" customWidth="1"/>
    <col min="13847" max="14074" width="8.88671875" style="123"/>
    <col min="14075" max="14075" width="11.5546875" style="123" bestFit="1" customWidth="1"/>
    <col min="14076" max="14076" width="10.88671875" style="123" customWidth="1"/>
    <col min="14077" max="14077" width="11.109375" style="123" bestFit="1" customWidth="1"/>
    <col min="14078" max="14079" width="8.88671875" style="123" bestFit="1"/>
    <col min="14080" max="14080" width="10.33203125" style="123" bestFit="1" customWidth="1"/>
    <col min="14081" max="14081" width="7.88671875" style="123" bestFit="1" customWidth="1"/>
    <col min="14082" max="14082" width="8.88671875" style="123" bestFit="1"/>
    <col min="14083" max="14083" width="9.5546875" style="123" bestFit="1" customWidth="1"/>
    <col min="14084" max="14084" width="13" style="123" customWidth="1"/>
    <col min="14085" max="14088" width="8.88671875" style="123"/>
    <col min="14089" max="14089" width="11.5546875" style="123" customWidth="1"/>
    <col min="14090" max="14090" width="13.33203125" style="123" customWidth="1"/>
    <col min="14091" max="14092" width="8.88671875" style="123"/>
    <col min="14093" max="14093" width="15.44140625" style="123" customWidth="1"/>
    <col min="14094" max="14094" width="11.33203125" style="123" customWidth="1"/>
    <col min="14095" max="14095" width="8.88671875" style="123"/>
    <col min="14096" max="14096" width="13.33203125" style="123" customWidth="1"/>
    <col min="14097" max="14097" width="14.33203125" style="123" customWidth="1"/>
    <col min="14098" max="14098" width="11.6640625" style="123" customWidth="1"/>
    <col min="14099" max="14099" width="8.88671875" style="123"/>
    <col min="14100" max="14100" width="11" style="123" customWidth="1"/>
    <col min="14101" max="14101" width="10.5546875" style="123" customWidth="1"/>
    <col min="14102" max="14102" width="10.44140625" style="123" customWidth="1"/>
    <col min="14103" max="14330" width="8.88671875" style="123"/>
    <col min="14331" max="14331" width="11.5546875" style="123" bestFit="1" customWidth="1"/>
    <col min="14332" max="14332" width="10.88671875" style="123" customWidth="1"/>
    <col min="14333" max="14333" width="11.109375" style="123" bestFit="1" customWidth="1"/>
    <col min="14334" max="14335" width="8.88671875" style="123" bestFit="1"/>
    <col min="14336" max="14336" width="10.33203125" style="123" bestFit="1" customWidth="1"/>
    <col min="14337" max="14337" width="7.88671875" style="123" bestFit="1" customWidth="1"/>
    <col min="14338" max="14338" width="8.88671875" style="123" bestFit="1"/>
    <col min="14339" max="14339" width="9.5546875" style="123" bestFit="1" customWidth="1"/>
    <col min="14340" max="14340" width="13" style="123" customWidth="1"/>
    <col min="14341" max="14344" width="8.88671875" style="123"/>
    <col min="14345" max="14345" width="11.5546875" style="123" customWidth="1"/>
    <col min="14346" max="14346" width="13.33203125" style="123" customWidth="1"/>
    <col min="14347" max="14348" width="8.88671875" style="123"/>
    <col min="14349" max="14349" width="15.44140625" style="123" customWidth="1"/>
    <col min="14350" max="14350" width="11.33203125" style="123" customWidth="1"/>
    <col min="14351" max="14351" width="8.88671875" style="123"/>
    <col min="14352" max="14352" width="13.33203125" style="123" customWidth="1"/>
    <col min="14353" max="14353" width="14.33203125" style="123" customWidth="1"/>
    <col min="14354" max="14354" width="11.6640625" style="123" customWidth="1"/>
    <col min="14355" max="14355" width="8.88671875" style="123"/>
    <col min="14356" max="14356" width="11" style="123" customWidth="1"/>
    <col min="14357" max="14357" width="10.5546875" style="123" customWidth="1"/>
    <col min="14358" max="14358" width="10.44140625" style="123" customWidth="1"/>
    <col min="14359" max="14586" width="8.88671875" style="123"/>
    <col min="14587" max="14587" width="11.5546875" style="123" bestFit="1" customWidth="1"/>
    <col min="14588" max="14588" width="10.88671875" style="123" customWidth="1"/>
    <col min="14589" max="14589" width="11.109375" style="123" bestFit="1" customWidth="1"/>
    <col min="14590" max="14591" width="8.88671875" style="123" bestFit="1"/>
    <col min="14592" max="14592" width="10.33203125" style="123" bestFit="1" customWidth="1"/>
    <col min="14593" max="14593" width="7.88671875" style="123" bestFit="1" customWidth="1"/>
    <col min="14594" max="14594" width="8.88671875" style="123" bestFit="1"/>
    <col min="14595" max="14595" width="9.5546875" style="123" bestFit="1" customWidth="1"/>
    <col min="14596" max="14596" width="13" style="123" customWidth="1"/>
    <col min="14597" max="14600" width="8.88671875" style="123"/>
    <col min="14601" max="14601" width="11.5546875" style="123" customWidth="1"/>
    <col min="14602" max="14602" width="13.33203125" style="123" customWidth="1"/>
    <col min="14603" max="14604" width="8.88671875" style="123"/>
    <col min="14605" max="14605" width="15.44140625" style="123" customWidth="1"/>
    <col min="14606" max="14606" width="11.33203125" style="123" customWidth="1"/>
    <col min="14607" max="14607" width="8.88671875" style="123"/>
    <col min="14608" max="14608" width="13.33203125" style="123" customWidth="1"/>
    <col min="14609" max="14609" width="14.33203125" style="123" customWidth="1"/>
    <col min="14610" max="14610" width="11.6640625" style="123" customWidth="1"/>
    <col min="14611" max="14611" width="8.88671875" style="123"/>
    <col min="14612" max="14612" width="11" style="123" customWidth="1"/>
    <col min="14613" max="14613" width="10.5546875" style="123" customWidth="1"/>
    <col min="14614" max="14614" width="10.44140625" style="123" customWidth="1"/>
    <col min="14615" max="14842" width="8.88671875" style="123"/>
    <col min="14843" max="14843" width="11.5546875" style="123" bestFit="1" customWidth="1"/>
    <col min="14844" max="14844" width="10.88671875" style="123" customWidth="1"/>
    <col min="14845" max="14845" width="11.109375" style="123" bestFit="1" customWidth="1"/>
    <col min="14846" max="14847" width="8.88671875" style="123" bestFit="1"/>
    <col min="14848" max="14848" width="10.33203125" style="123" bestFit="1" customWidth="1"/>
    <col min="14849" max="14849" width="7.88671875" style="123" bestFit="1" customWidth="1"/>
    <col min="14850" max="14850" width="8.88671875" style="123" bestFit="1"/>
    <col min="14851" max="14851" width="9.5546875" style="123" bestFit="1" customWidth="1"/>
    <col min="14852" max="14852" width="13" style="123" customWidth="1"/>
    <col min="14853" max="14856" width="8.88671875" style="123"/>
    <col min="14857" max="14857" width="11.5546875" style="123" customWidth="1"/>
    <col min="14858" max="14858" width="13.33203125" style="123" customWidth="1"/>
    <col min="14859" max="14860" width="8.88671875" style="123"/>
    <col min="14861" max="14861" width="15.44140625" style="123" customWidth="1"/>
    <col min="14862" max="14862" width="11.33203125" style="123" customWidth="1"/>
    <col min="14863" max="14863" width="8.88671875" style="123"/>
    <col min="14864" max="14864" width="13.33203125" style="123" customWidth="1"/>
    <col min="14865" max="14865" width="14.33203125" style="123" customWidth="1"/>
    <col min="14866" max="14866" width="11.6640625" style="123" customWidth="1"/>
    <col min="14867" max="14867" width="8.88671875" style="123"/>
    <col min="14868" max="14868" width="11" style="123" customWidth="1"/>
    <col min="14869" max="14869" width="10.5546875" style="123" customWidth="1"/>
    <col min="14870" max="14870" width="10.44140625" style="123" customWidth="1"/>
    <col min="14871" max="15098" width="8.88671875" style="123"/>
    <col min="15099" max="15099" width="11.5546875" style="123" bestFit="1" customWidth="1"/>
    <col min="15100" max="15100" width="10.88671875" style="123" customWidth="1"/>
    <col min="15101" max="15101" width="11.109375" style="123" bestFit="1" customWidth="1"/>
    <col min="15102" max="15103" width="8.88671875" style="123" bestFit="1"/>
    <col min="15104" max="15104" width="10.33203125" style="123" bestFit="1" customWidth="1"/>
    <col min="15105" max="15105" width="7.88671875" style="123" bestFit="1" customWidth="1"/>
    <col min="15106" max="15106" width="8.88671875" style="123" bestFit="1"/>
    <col min="15107" max="15107" width="9.5546875" style="123" bestFit="1" customWidth="1"/>
    <col min="15108" max="15108" width="13" style="123" customWidth="1"/>
    <col min="15109" max="15112" width="8.88671875" style="123"/>
    <col min="15113" max="15113" width="11.5546875" style="123" customWidth="1"/>
    <col min="15114" max="15114" width="13.33203125" style="123" customWidth="1"/>
    <col min="15115" max="15116" width="8.88671875" style="123"/>
    <col min="15117" max="15117" width="15.44140625" style="123" customWidth="1"/>
    <col min="15118" max="15118" width="11.33203125" style="123" customWidth="1"/>
    <col min="15119" max="15119" width="8.88671875" style="123"/>
    <col min="15120" max="15120" width="13.33203125" style="123" customWidth="1"/>
    <col min="15121" max="15121" width="14.33203125" style="123" customWidth="1"/>
    <col min="15122" max="15122" width="11.6640625" style="123" customWidth="1"/>
    <col min="15123" max="15123" width="8.88671875" style="123"/>
    <col min="15124" max="15124" width="11" style="123" customWidth="1"/>
    <col min="15125" max="15125" width="10.5546875" style="123" customWidth="1"/>
    <col min="15126" max="15126" width="10.44140625" style="123" customWidth="1"/>
    <col min="15127" max="15354" width="8.88671875" style="123"/>
    <col min="15355" max="15355" width="11.5546875" style="123" bestFit="1" customWidth="1"/>
    <col min="15356" max="15356" width="10.88671875" style="123" customWidth="1"/>
    <col min="15357" max="15357" width="11.109375" style="123" bestFit="1" customWidth="1"/>
    <col min="15358" max="15359" width="8.88671875" style="123" bestFit="1"/>
    <col min="15360" max="15360" width="10.33203125" style="123" bestFit="1" customWidth="1"/>
    <col min="15361" max="15361" width="7.88671875" style="123" bestFit="1" customWidth="1"/>
    <col min="15362" max="15362" width="8.88671875" style="123" bestFit="1"/>
    <col min="15363" max="15363" width="9.5546875" style="123" bestFit="1" customWidth="1"/>
    <col min="15364" max="15364" width="13" style="123" customWidth="1"/>
    <col min="15365" max="15368" width="8.88671875" style="123"/>
    <col min="15369" max="15369" width="11.5546875" style="123" customWidth="1"/>
    <col min="15370" max="15370" width="13.33203125" style="123" customWidth="1"/>
    <col min="15371" max="15372" width="8.88671875" style="123"/>
    <col min="15373" max="15373" width="15.44140625" style="123" customWidth="1"/>
    <col min="15374" max="15374" width="11.33203125" style="123" customWidth="1"/>
    <col min="15375" max="15375" width="8.88671875" style="123"/>
    <col min="15376" max="15376" width="13.33203125" style="123" customWidth="1"/>
    <col min="15377" max="15377" width="14.33203125" style="123" customWidth="1"/>
    <col min="15378" max="15378" width="11.6640625" style="123" customWidth="1"/>
    <col min="15379" max="15379" width="8.88671875" style="123"/>
    <col min="15380" max="15380" width="11" style="123" customWidth="1"/>
    <col min="15381" max="15381" width="10.5546875" style="123" customWidth="1"/>
    <col min="15382" max="15382" width="10.44140625" style="123" customWidth="1"/>
    <col min="15383" max="15610" width="8.88671875" style="123"/>
    <col min="15611" max="15611" width="11.5546875" style="123" bestFit="1" customWidth="1"/>
    <col min="15612" max="15612" width="10.88671875" style="123" customWidth="1"/>
    <col min="15613" max="15613" width="11.109375" style="123" bestFit="1" customWidth="1"/>
    <col min="15614" max="15615" width="8.88671875" style="123" bestFit="1"/>
    <col min="15616" max="15616" width="10.33203125" style="123" bestFit="1" customWidth="1"/>
    <col min="15617" max="15617" width="7.88671875" style="123" bestFit="1" customWidth="1"/>
    <col min="15618" max="15618" width="8.88671875" style="123" bestFit="1"/>
    <col min="15619" max="15619" width="9.5546875" style="123" bestFit="1" customWidth="1"/>
    <col min="15620" max="15620" width="13" style="123" customWidth="1"/>
    <col min="15621" max="15624" width="8.88671875" style="123"/>
    <col min="15625" max="15625" width="11.5546875" style="123" customWidth="1"/>
    <col min="15626" max="15626" width="13.33203125" style="123" customWidth="1"/>
    <col min="15627" max="15628" width="8.88671875" style="123"/>
    <col min="15629" max="15629" width="15.44140625" style="123" customWidth="1"/>
    <col min="15630" max="15630" width="11.33203125" style="123" customWidth="1"/>
    <col min="15631" max="15631" width="8.88671875" style="123"/>
    <col min="15632" max="15632" width="13.33203125" style="123" customWidth="1"/>
    <col min="15633" max="15633" width="14.33203125" style="123" customWidth="1"/>
    <col min="15634" max="15634" width="11.6640625" style="123" customWidth="1"/>
    <col min="15635" max="15635" width="8.88671875" style="123"/>
    <col min="15636" max="15636" width="11" style="123" customWidth="1"/>
    <col min="15637" max="15637" width="10.5546875" style="123" customWidth="1"/>
    <col min="15638" max="15638" width="10.44140625" style="123" customWidth="1"/>
    <col min="15639" max="15866" width="8.88671875" style="123"/>
    <col min="15867" max="15867" width="11.5546875" style="123" bestFit="1" customWidth="1"/>
    <col min="15868" max="15868" width="10.88671875" style="123" customWidth="1"/>
    <col min="15869" max="15869" width="11.109375" style="123" bestFit="1" customWidth="1"/>
    <col min="15870" max="15871" width="8.88671875" style="123" bestFit="1"/>
    <col min="15872" max="15872" width="10.33203125" style="123" bestFit="1" customWidth="1"/>
    <col min="15873" max="15873" width="7.88671875" style="123" bestFit="1" customWidth="1"/>
    <col min="15874" max="15874" width="8.88671875" style="123" bestFit="1"/>
    <col min="15875" max="15875" width="9.5546875" style="123" bestFit="1" customWidth="1"/>
    <col min="15876" max="15876" width="13" style="123" customWidth="1"/>
    <col min="15877" max="15880" width="8.88671875" style="123"/>
    <col min="15881" max="15881" width="11.5546875" style="123" customWidth="1"/>
    <col min="15882" max="15882" width="13.33203125" style="123" customWidth="1"/>
    <col min="15883" max="15884" width="8.88671875" style="123"/>
    <col min="15885" max="15885" width="15.44140625" style="123" customWidth="1"/>
    <col min="15886" max="15886" width="11.33203125" style="123" customWidth="1"/>
    <col min="15887" max="15887" width="8.88671875" style="123"/>
    <col min="15888" max="15888" width="13.33203125" style="123" customWidth="1"/>
    <col min="15889" max="15889" width="14.33203125" style="123" customWidth="1"/>
    <col min="15890" max="15890" width="11.6640625" style="123" customWidth="1"/>
    <col min="15891" max="15891" width="8.88671875" style="123"/>
    <col min="15892" max="15892" width="11" style="123" customWidth="1"/>
    <col min="15893" max="15893" width="10.5546875" style="123" customWidth="1"/>
    <col min="15894" max="15894" width="10.44140625" style="123" customWidth="1"/>
    <col min="15895" max="16122" width="8.88671875" style="123"/>
    <col min="16123" max="16123" width="11.5546875" style="123" bestFit="1" customWidth="1"/>
    <col min="16124" max="16124" width="10.88671875" style="123" customWidth="1"/>
    <col min="16125" max="16125" width="11.109375" style="123" bestFit="1" customWidth="1"/>
    <col min="16126" max="16127" width="8.88671875" style="123" bestFit="1"/>
    <col min="16128" max="16128" width="10.33203125" style="123" bestFit="1" customWidth="1"/>
    <col min="16129" max="16129" width="7.88671875" style="123" bestFit="1" customWidth="1"/>
    <col min="16130" max="16130" width="8.88671875" style="123" bestFit="1"/>
    <col min="16131" max="16131" width="9.5546875" style="123" bestFit="1" customWidth="1"/>
    <col min="16132" max="16132" width="13" style="123" customWidth="1"/>
    <col min="16133" max="16136" width="8.88671875" style="123"/>
    <col min="16137" max="16137" width="11.5546875" style="123" customWidth="1"/>
    <col min="16138" max="16138" width="13.33203125" style="123" customWidth="1"/>
    <col min="16139" max="16140" width="8.88671875" style="123"/>
    <col min="16141" max="16141" width="15.44140625" style="123" customWidth="1"/>
    <col min="16142" max="16142" width="11.33203125" style="123" customWidth="1"/>
    <col min="16143" max="16143" width="8.88671875" style="123"/>
    <col min="16144" max="16144" width="13.33203125" style="123" customWidth="1"/>
    <col min="16145" max="16145" width="14.33203125" style="123" customWidth="1"/>
    <col min="16146" max="16146" width="11.6640625" style="123" customWidth="1"/>
    <col min="16147" max="16147" width="8.88671875" style="123"/>
    <col min="16148" max="16148" width="11" style="123" customWidth="1"/>
    <col min="16149" max="16149" width="10.5546875" style="123" customWidth="1"/>
    <col min="16150" max="16150" width="10.44140625" style="123" customWidth="1"/>
    <col min="16151" max="16384" width="8.88671875" style="123"/>
  </cols>
  <sheetData>
    <row r="1" spans="1:22" ht="11.4" customHeight="1" x14ac:dyDescent="0.2">
      <c r="A1" s="122" t="s">
        <v>3</v>
      </c>
      <c r="B1" s="122" t="s">
        <v>196</v>
      </c>
      <c r="C1" s="168" t="s">
        <v>209</v>
      </c>
    </row>
    <row r="2" spans="1:22" ht="12" customHeight="1" x14ac:dyDescent="0.3">
      <c r="A2" s="124">
        <v>40</v>
      </c>
      <c r="B2" s="125">
        <v>15</v>
      </c>
      <c r="C2" s="134">
        <v>45600</v>
      </c>
      <c r="H2" s="121"/>
      <c r="Q2" s="128"/>
      <c r="R2" s="128"/>
      <c r="S2" s="128"/>
      <c r="T2" s="129"/>
      <c r="U2" s="129"/>
      <c r="V2" s="129"/>
    </row>
    <row r="3" spans="1:22" ht="12" customHeight="1" x14ac:dyDescent="0.3">
      <c r="A3" s="124">
        <v>50</v>
      </c>
      <c r="B3" s="125">
        <v>15</v>
      </c>
      <c r="C3" s="134">
        <v>46800</v>
      </c>
      <c r="H3" s="121"/>
      <c r="Q3" s="128"/>
      <c r="R3" s="128"/>
      <c r="S3" s="128"/>
      <c r="T3" s="129"/>
      <c r="U3" s="129"/>
      <c r="V3" s="129"/>
    </row>
    <row r="4" spans="1:22" ht="12" customHeight="1" x14ac:dyDescent="0.3">
      <c r="A4" s="124">
        <v>60</v>
      </c>
      <c r="B4" s="125">
        <v>15</v>
      </c>
      <c r="C4" s="134">
        <v>50400</v>
      </c>
      <c r="Q4" s="128"/>
      <c r="R4" s="128"/>
      <c r="S4" s="128"/>
      <c r="T4" s="129"/>
      <c r="U4" s="129"/>
      <c r="V4" s="129"/>
    </row>
    <row r="5" spans="1:22" ht="12" customHeight="1" x14ac:dyDescent="0.3">
      <c r="A5" s="124">
        <v>70</v>
      </c>
      <c r="B5" s="125">
        <v>15</v>
      </c>
      <c r="C5" s="135">
        <v>54000</v>
      </c>
      <c r="H5" s="121"/>
      <c r="Q5" s="128"/>
      <c r="R5" s="128"/>
      <c r="S5" s="128"/>
      <c r="T5" s="129"/>
      <c r="U5" s="129"/>
      <c r="V5" s="129"/>
    </row>
    <row r="6" spans="1:22" ht="12" customHeight="1" x14ac:dyDescent="0.3">
      <c r="A6" s="124">
        <v>80</v>
      </c>
      <c r="B6" s="125">
        <v>15</v>
      </c>
      <c r="C6" s="135">
        <v>57600</v>
      </c>
      <c r="H6" s="121"/>
      <c r="Q6" s="128"/>
      <c r="R6" s="128"/>
      <c r="S6" s="128"/>
      <c r="T6" s="129"/>
      <c r="U6" s="129"/>
      <c r="V6" s="129"/>
    </row>
    <row r="7" spans="1:22" ht="12" customHeight="1" x14ac:dyDescent="0.3">
      <c r="A7" s="124">
        <v>100</v>
      </c>
      <c r="B7" s="125">
        <v>15</v>
      </c>
      <c r="C7" s="135">
        <v>63600</v>
      </c>
      <c r="Q7" s="128"/>
      <c r="R7" s="128"/>
      <c r="S7" s="128"/>
      <c r="T7" s="129"/>
      <c r="U7" s="129"/>
      <c r="V7" s="129"/>
    </row>
    <row r="8" spans="1:22" ht="12" customHeight="1" x14ac:dyDescent="0.3">
      <c r="A8" s="124">
        <v>125</v>
      </c>
      <c r="B8" s="125">
        <v>15</v>
      </c>
      <c r="C8" s="135">
        <v>69600</v>
      </c>
      <c r="H8" s="121"/>
      <c r="Q8" s="128"/>
      <c r="R8" s="128"/>
      <c r="S8" s="128"/>
      <c r="T8" s="129"/>
      <c r="U8" s="129"/>
      <c r="V8" s="129"/>
    </row>
    <row r="9" spans="1:22" ht="14.4" x14ac:dyDescent="0.3">
      <c r="A9" s="124">
        <v>150</v>
      </c>
      <c r="B9" s="125">
        <v>15</v>
      </c>
      <c r="C9" s="135">
        <v>80400</v>
      </c>
      <c r="H9" s="121"/>
      <c r="T9" s="129"/>
      <c r="U9" s="129"/>
      <c r="V9" s="129"/>
    </row>
    <row r="10" spans="1:22" ht="14.4" x14ac:dyDescent="0.3">
      <c r="A10" s="124">
        <v>175</v>
      </c>
      <c r="B10" s="125">
        <v>15</v>
      </c>
      <c r="C10" s="135">
        <v>87600</v>
      </c>
      <c r="H10" s="121"/>
      <c r="Q10" s="128"/>
      <c r="R10" s="128"/>
      <c r="S10" s="128"/>
      <c r="T10" s="129"/>
      <c r="U10" s="129"/>
      <c r="V10" s="129"/>
    </row>
    <row r="11" spans="1:22" ht="14.4" x14ac:dyDescent="0.3">
      <c r="A11" s="124">
        <v>200</v>
      </c>
      <c r="B11" s="125">
        <v>15</v>
      </c>
      <c r="C11" s="135">
        <v>94800</v>
      </c>
      <c r="H11" s="121"/>
      <c r="Q11" s="128"/>
      <c r="R11" s="128"/>
      <c r="S11" s="128"/>
      <c r="T11" s="129"/>
      <c r="U11" s="129"/>
      <c r="V11" s="129"/>
    </row>
    <row r="12" spans="1:22" ht="14.4" x14ac:dyDescent="0.3">
      <c r="A12" s="124">
        <v>238</v>
      </c>
      <c r="B12" s="125">
        <v>15</v>
      </c>
      <c r="C12" s="134">
        <v>110400</v>
      </c>
      <c r="H12" s="121"/>
      <c r="Q12" s="128"/>
      <c r="R12" s="128"/>
      <c r="S12" s="128"/>
    </row>
    <row r="13" spans="1:22" ht="14.4" x14ac:dyDescent="0.3">
      <c r="A13" s="124">
        <v>250</v>
      </c>
      <c r="B13" s="125">
        <v>15</v>
      </c>
      <c r="C13" s="135">
        <v>110400</v>
      </c>
      <c r="Q13" s="128"/>
      <c r="R13" s="128"/>
      <c r="S13" s="128"/>
    </row>
    <row r="14" spans="1:22" ht="14.4" x14ac:dyDescent="0.3">
      <c r="A14" s="124">
        <v>300</v>
      </c>
      <c r="B14" s="125">
        <v>15</v>
      </c>
      <c r="C14" s="135">
        <v>129600</v>
      </c>
      <c r="H14" s="121"/>
      <c r="Q14" s="128"/>
      <c r="R14" s="130"/>
      <c r="S14" s="128"/>
    </row>
    <row r="15" spans="1:22" ht="14.4" x14ac:dyDescent="0.3">
      <c r="A15" s="124">
        <v>350</v>
      </c>
      <c r="B15" s="125">
        <v>15</v>
      </c>
      <c r="C15" s="135">
        <v>142800</v>
      </c>
      <c r="H15" s="121"/>
      <c r="Q15" s="128"/>
      <c r="R15" s="130"/>
      <c r="S15" s="128"/>
    </row>
    <row r="16" spans="1:22" ht="14.4" x14ac:dyDescent="0.3">
      <c r="A16" s="124">
        <v>400</v>
      </c>
      <c r="B16" s="125">
        <v>15</v>
      </c>
      <c r="C16" s="135">
        <v>151200</v>
      </c>
      <c r="Q16" s="128"/>
      <c r="R16" s="130"/>
    </row>
    <row r="17" spans="1:22" ht="14.4" x14ac:dyDescent="0.3">
      <c r="A17" s="124">
        <v>500</v>
      </c>
      <c r="B17" s="125">
        <v>15</v>
      </c>
      <c r="C17" s="135">
        <v>175200</v>
      </c>
      <c r="Q17" s="128"/>
      <c r="R17" s="130"/>
    </row>
    <row r="18" spans="1:22" ht="14.4" x14ac:dyDescent="0.3">
      <c r="A18" s="124">
        <v>600</v>
      </c>
      <c r="B18" s="125">
        <v>15</v>
      </c>
      <c r="C18" s="135">
        <v>198000</v>
      </c>
      <c r="Q18" s="128"/>
      <c r="R18" s="130"/>
    </row>
    <row r="19" spans="1:22" ht="14.4" x14ac:dyDescent="0.3">
      <c r="A19" s="124">
        <v>40</v>
      </c>
      <c r="B19" s="125">
        <v>150</v>
      </c>
      <c r="C19" s="134">
        <v>49200</v>
      </c>
      <c r="H19" s="124"/>
      <c r="Q19" s="128"/>
      <c r="R19" s="128"/>
      <c r="S19" s="128"/>
      <c r="T19" s="129"/>
      <c r="U19" s="129"/>
      <c r="V19" s="129"/>
    </row>
    <row r="20" spans="1:22" ht="14.4" x14ac:dyDescent="0.3">
      <c r="A20" s="124">
        <v>50</v>
      </c>
      <c r="B20" s="125">
        <v>150</v>
      </c>
      <c r="C20" s="135">
        <v>50400</v>
      </c>
      <c r="H20" s="124"/>
      <c r="Q20" s="128"/>
      <c r="R20" s="128"/>
      <c r="S20" s="128"/>
      <c r="T20" s="129"/>
      <c r="U20" s="129"/>
      <c r="V20" s="129"/>
    </row>
    <row r="21" spans="1:22" ht="14.4" x14ac:dyDescent="0.3">
      <c r="A21" s="124">
        <v>60</v>
      </c>
      <c r="B21" s="125">
        <v>150</v>
      </c>
      <c r="C21" s="135">
        <v>54000</v>
      </c>
      <c r="H21" s="124"/>
      <c r="Q21" s="128"/>
      <c r="R21" s="128"/>
      <c r="S21" s="128"/>
      <c r="T21" s="129"/>
      <c r="U21" s="129"/>
      <c r="V21" s="129"/>
    </row>
    <row r="22" spans="1:22" ht="14.4" x14ac:dyDescent="0.3">
      <c r="A22" s="124">
        <v>70</v>
      </c>
      <c r="B22" s="125">
        <v>150</v>
      </c>
      <c r="C22" s="135">
        <v>57600</v>
      </c>
      <c r="H22" s="124"/>
      <c r="Q22" s="128"/>
      <c r="R22" s="128"/>
      <c r="S22" s="128"/>
      <c r="T22" s="129"/>
      <c r="U22" s="129"/>
      <c r="V22" s="129"/>
    </row>
    <row r="23" spans="1:22" ht="14.4" x14ac:dyDescent="0.3">
      <c r="A23" s="124">
        <v>80</v>
      </c>
      <c r="B23" s="125">
        <v>150</v>
      </c>
      <c r="C23" s="135">
        <v>62400</v>
      </c>
      <c r="H23" s="124"/>
      <c r="I23" s="128"/>
      <c r="J23" s="129"/>
      <c r="L23" s="124"/>
      <c r="M23" s="128"/>
      <c r="N23" s="131"/>
      <c r="P23" s="124"/>
      <c r="Q23" s="128"/>
      <c r="R23" s="128"/>
      <c r="S23" s="128"/>
      <c r="T23" s="129"/>
      <c r="U23" s="129"/>
      <c r="V23" s="129"/>
    </row>
    <row r="24" spans="1:22" ht="14.4" x14ac:dyDescent="0.3">
      <c r="A24" s="124">
        <v>100</v>
      </c>
      <c r="B24" s="125">
        <v>150</v>
      </c>
      <c r="C24" s="135">
        <v>68400</v>
      </c>
      <c r="H24" s="124"/>
      <c r="I24" s="128"/>
      <c r="J24" s="129"/>
      <c r="L24" s="124"/>
      <c r="M24" s="128"/>
      <c r="N24" s="131"/>
      <c r="P24" s="124"/>
      <c r="Q24" s="128"/>
      <c r="R24" s="128"/>
      <c r="S24" s="128"/>
      <c r="T24" s="129"/>
      <c r="U24" s="129"/>
      <c r="V24" s="129"/>
    </row>
    <row r="25" spans="1:22" ht="14.4" x14ac:dyDescent="0.3">
      <c r="A25" s="124">
        <v>125</v>
      </c>
      <c r="B25" s="125">
        <v>150</v>
      </c>
      <c r="C25" s="135">
        <v>74400</v>
      </c>
      <c r="H25" s="124"/>
      <c r="I25" s="128"/>
      <c r="J25" s="129"/>
      <c r="L25" s="124"/>
      <c r="M25" s="128"/>
      <c r="N25" s="131"/>
      <c r="P25" s="124"/>
      <c r="Q25" s="128"/>
      <c r="R25" s="128"/>
      <c r="S25" s="128"/>
      <c r="T25" s="129"/>
      <c r="U25" s="129"/>
      <c r="V25" s="129"/>
    </row>
    <row r="26" spans="1:22" ht="14.4" x14ac:dyDescent="0.3">
      <c r="A26" s="124">
        <v>150</v>
      </c>
      <c r="B26" s="125">
        <v>150</v>
      </c>
      <c r="C26" s="135">
        <v>87600</v>
      </c>
      <c r="H26" s="124"/>
      <c r="I26" s="128"/>
      <c r="J26" s="129"/>
      <c r="L26" s="124"/>
      <c r="M26" s="128"/>
      <c r="N26" s="131"/>
      <c r="T26" s="129"/>
      <c r="U26" s="129"/>
      <c r="V26" s="129"/>
    </row>
    <row r="27" spans="1:22" ht="14.4" x14ac:dyDescent="0.3">
      <c r="A27" s="124">
        <v>175</v>
      </c>
      <c r="B27" s="125">
        <v>150</v>
      </c>
      <c r="C27" s="135">
        <v>94800</v>
      </c>
      <c r="H27" s="124"/>
      <c r="I27" s="128"/>
      <c r="J27" s="129"/>
      <c r="L27" s="124"/>
      <c r="M27" s="128"/>
      <c r="N27" s="131"/>
      <c r="P27" s="124"/>
      <c r="Q27" s="128"/>
      <c r="R27" s="128"/>
      <c r="S27" s="128"/>
      <c r="T27" s="129"/>
      <c r="U27" s="129"/>
      <c r="V27" s="129"/>
    </row>
    <row r="28" spans="1:22" ht="14.4" x14ac:dyDescent="0.3">
      <c r="A28" s="124">
        <v>200</v>
      </c>
      <c r="B28" s="125">
        <v>150</v>
      </c>
      <c r="C28" s="135">
        <v>102000</v>
      </c>
      <c r="H28" s="124"/>
      <c r="I28" s="128"/>
      <c r="J28" s="129"/>
      <c r="L28" s="124"/>
      <c r="M28" s="128"/>
      <c r="N28" s="131"/>
      <c r="P28" s="124"/>
      <c r="Q28" s="128"/>
      <c r="R28" s="128"/>
      <c r="S28" s="128"/>
      <c r="T28" s="129"/>
      <c r="U28" s="129"/>
      <c r="V28" s="129"/>
    </row>
    <row r="29" spans="1:22" ht="14.4" x14ac:dyDescent="0.3">
      <c r="A29" s="124">
        <v>238</v>
      </c>
      <c r="B29" s="125">
        <v>150</v>
      </c>
      <c r="C29" s="136">
        <v>117600</v>
      </c>
      <c r="H29" s="132"/>
      <c r="I29" s="132"/>
      <c r="J29" s="129"/>
      <c r="L29" s="124"/>
      <c r="M29" s="128"/>
      <c r="N29" s="131"/>
      <c r="P29" s="124"/>
      <c r="Q29" s="128"/>
      <c r="R29" s="128"/>
      <c r="S29" s="128"/>
    </row>
    <row r="30" spans="1:22" ht="14.4" x14ac:dyDescent="0.3">
      <c r="A30" s="124">
        <v>250</v>
      </c>
      <c r="B30" s="125">
        <v>150</v>
      </c>
      <c r="C30" s="135">
        <v>117600</v>
      </c>
      <c r="H30" s="132"/>
      <c r="I30" s="132"/>
      <c r="J30" s="129"/>
      <c r="L30" s="124"/>
      <c r="M30" s="128"/>
      <c r="N30" s="131"/>
      <c r="P30" s="124"/>
      <c r="Q30" s="128"/>
      <c r="R30" s="128"/>
      <c r="S30" s="128"/>
    </row>
    <row r="31" spans="1:22" ht="14.4" x14ac:dyDescent="0.3">
      <c r="A31" s="124">
        <v>300</v>
      </c>
      <c r="B31" s="125">
        <v>150</v>
      </c>
      <c r="C31" s="135">
        <v>140400</v>
      </c>
      <c r="H31" s="132"/>
      <c r="I31" s="132"/>
      <c r="J31" s="129"/>
      <c r="L31" s="124"/>
      <c r="M31" s="128"/>
      <c r="N31" s="131"/>
      <c r="P31" s="124"/>
      <c r="Q31" s="133"/>
      <c r="R31" s="128"/>
      <c r="S31" s="128"/>
    </row>
    <row r="32" spans="1:22" ht="14.4" x14ac:dyDescent="0.3">
      <c r="A32" s="124">
        <v>350</v>
      </c>
      <c r="B32" s="125">
        <v>150</v>
      </c>
      <c r="C32" s="135">
        <v>151200</v>
      </c>
      <c r="L32" s="124"/>
      <c r="M32" s="128"/>
      <c r="N32" s="131"/>
      <c r="P32" s="124"/>
      <c r="Q32" s="128"/>
      <c r="R32" s="128"/>
      <c r="S32" s="128"/>
    </row>
    <row r="33" spans="1:18" ht="14.4" x14ac:dyDescent="0.3">
      <c r="A33" s="124">
        <v>400</v>
      </c>
      <c r="B33" s="125">
        <v>150</v>
      </c>
      <c r="C33" s="135">
        <v>160800</v>
      </c>
      <c r="L33" s="124"/>
      <c r="M33" s="128"/>
      <c r="N33" s="131"/>
      <c r="P33" s="124"/>
      <c r="Q33" s="128"/>
      <c r="R33" s="128"/>
    </row>
    <row r="34" spans="1:18" ht="14.4" x14ac:dyDescent="0.3">
      <c r="A34" s="124">
        <v>500</v>
      </c>
      <c r="B34" s="125">
        <v>150</v>
      </c>
      <c r="C34" s="135">
        <v>187200</v>
      </c>
      <c r="L34" s="124"/>
      <c r="M34" s="128"/>
      <c r="N34" s="131"/>
      <c r="P34" s="124"/>
      <c r="Q34" s="128"/>
      <c r="R34" s="128"/>
    </row>
    <row r="35" spans="1:18" ht="14.4" x14ac:dyDescent="0.3">
      <c r="A35" s="124">
        <v>600</v>
      </c>
      <c r="B35" s="125">
        <v>150</v>
      </c>
      <c r="C35" s="135">
        <v>214800</v>
      </c>
      <c r="P35" s="124"/>
      <c r="Q35" s="128"/>
      <c r="R35" s="128"/>
    </row>
    <row r="36" spans="1:18" ht="14.4" x14ac:dyDescent="0.3">
      <c r="A36" s="124">
        <v>700</v>
      </c>
      <c r="B36" s="125">
        <v>150</v>
      </c>
      <c r="C36" s="135">
        <v>248400</v>
      </c>
      <c r="P36" s="124"/>
      <c r="Q36" s="128"/>
      <c r="R36" s="128"/>
    </row>
    <row r="37" spans="1:18" ht="14.4" x14ac:dyDescent="0.3">
      <c r="A37" s="124">
        <v>800</v>
      </c>
      <c r="B37" s="125">
        <v>150</v>
      </c>
      <c r="C37" s="135">
        <v>266400</v>
      </c>
      <c r="P37" s="124"/>
      <c r="Q37" s="128"/>
      <c r="R37" s="128"/>
    </row>
    <row r="38" spans="1:18" ht="14.4" x14ac:dyDescent="0.3">
      <c r="A38" s="124">
        <v>900</v>
      </c>
      <c r="B38" s="125">
        <v>150</v>
      </c>
      <c r="C38" s="135">
        <v>288000</v>
      </c>
      <c r="E38" s="123" t="s">
        <v>257</v>
      </c>
      <c r="F38" s="123" t="s">
        <v>196</v>
      </c>
      <c r="G38" s="132" t="s">
        <v>484</v>
      </c>
      <c r="H38" s="132" t="s">
        <v>1</v>
      </c>
      <c r="I38" s="132" t="s">
        <v>343</v>
      </c>
      <c r="P38" s="124"/>
      <c r="Q38" s="128"/>
      <c r="R38" s="128"/>
    </row>
    <row r="39" spans="1:18" ht="18" x14ac:dyDescent="0.35">
      <c r="A39" s="124">
        <v>40</v>
      </c>
      <c r="B39" s="132">
        <v>200</v>
      </c>
      <c r="C39" s="137">
        <v>49200</v>
      </c>
      <c r="E39" s="124">
        <v>40</v>
      </c>
      <c r="F39" s="124">
        <v>200</v>
      </c>
      <c r="G39" s="134">
        <f>N46</f>
        <v>2800</v>
      </c>
      <c r="K39" s="142" t="s">
        <v>338</v>
      </c>
      <c r="L39"/>
      <c r="M39"/>
      <c r="N39"/>
      <c r="O39"/>
      <c r="P39"/>
      <c r="Q39"/>
      <c r="R39"/>
    </row>
    <row r="40" spans="1:18" x14ac:dyDescent="0.2">
      <c r="A40" s="124">
        <v>50</v>
      </c>
      <c r="B40" s="132">
        <v>200</v>
      </c>
      <c r="C40" s="137">
        <v>50400</v>
      </c>
      <c r="E40" s="124">
        <v>50</v>
      </c>
      <c r="F40" s="124">
        <v>200</v>
      </c>
      <c r="G40" s="135">
        <f>N46</f>
        <v>2800</v>
      </c>
      <c r="K40" s="343" t="s">
        <v>339</v>
      </c>
      <c r="L40" s="343"/>
      <c r="M40" s="343"/>
      <c r="N40" s="343"/>
      <c r="O40" s="343"/>
      <c r="P40" s="343"/>
      <c r="Q40" s="343"/>
      <c r="R40" s="343"/>
    </row>
    <row r="41" spans="1:18" x14ac:dyDescent="0.2">
      <c r="A41" s="124">
        <v>60</v>
      </c>
      <c r="B41" s="132">
        <v>200</v>
      </c>
      <c r="C41" s="137">
        <v>54000</v>
      </c>
      <c r="E41" s="124">
        <v>60</v>
      </c>
      <c r="F41" s="124">
        <v>200</v>
      </c>
      <c r="G41" s="135">
        <f>N47</f>
        <v>3300</v>
      </c>
      <c r="K41" s="343"/>
      <c r="L41" s="343"/>
      <c r="M41" s="343"/>
      <c r="N41" s="343"/>
      <c r="O41" s="343"/>
      <c r="P41" s="343"/>
      <c r="Q41" s="343"/>
      <c r="R41" s="343"/>
    </row>
    <row r="42" spans="1:18" x14ac:dyDescent="0.2">
      <c r="A42" s="124">
        <v>70</v>
      </c>
      <c r="B42" s="132">
        <v>200</v>
      </c>
      <c r="C42" s="137">
        <v>57600</v>
      </c>
      <c r="E42" s="124">
        <v>70</v>
      </c>
      <c r="F42" s="124">
        <v>200</v>
      </c>
      <c r="G42" s="135">
        <f>N47</f>
        <v>3300</v>
      </c>
      <c r="K42" s="343"/>
      <c r="L42" s="343"/>
      <c r="M42" s="343"/>
      <c r="N42" s="343"/>
      <c r="O42" s="343"/>
      <c r="P42" s="343"/>
      <c r="Q42" s="343"/>
      <c r="R42" s="343"/>
    </row>
    <row r="43" spans="1:18" ht="15" thickBot="1" x14ac:dyDescent="0.35">
      <c r="A43" s="124">
        <v>80</v>
      </c>
      <c r="B43" s="132">
        <v>200</v>
      </c>
      <c r="C43" s="137">
        <v>62400</v>
      </c>
      <c r="E43" s="124">
        <v>80</v>
      </c>
      <c r="F43" s="124">
        <v>200</v>
      </c>
      <c r="G43" s="135">
        <f>N47</f>
        <v>3300</v>
      </c>
      <c r="K43" s="166"/>
      <c r="L43" s="166"/>
      <c r="M43" s="166"/>
      <c r="N43" s="166"/>
      <c r="O43" s="166"/>
      <c r="P43" s="166"/>
      <c r="Q43" s="166"/>
      <c r="R43" s="166"/>
    </row>
    <row r="44" spans="1:18" ht="15" thickBot="1" x14ac:dyDescent="0.35">
      <c r="A44" s="124">
        <v>100</v>
      </c>
      <c r="B44" s="132">
        <v>200</v>
      </c>
      <c r="C44" s="137">
        <v>68400</v>
      </c>
      <c r="E44" s="124">
        <v>100</v>
      </c>
      <c r="F44" s="124">
        <v>200</v>
      </c>
      <c r="G44" s="135">
        <f>N48</f>
        <v>3200</v>
      </c>
      <c r="K44"/>
      <c r="L44"/>
      <c r="M44" s="193" t="s">
        <v>340</v>
      </c>
      <c r="N44" s="194" t="s">
        <v>341</v>
      </c>
      <c r="O44" s="194" t="s">
        <v>342</v>
      </c>
      <c r="P44" s="195" t="s">
        <v>343</v>
      </c>
      <c r="Q44"/>
      <c r="R44"/>
    </row>
    <row r="45" spans="1:18" ht="15" thickTop="1" x14ac:dyDescent="0.3">
      <c r="A45" s="124">
        <v>125</v>
      </c>
      <c r="B45" s="132">
        <v>200</v>
      </c>
      <c r="C45" s="137">
        <v>74400</v>
      </c>
      <c r="E45" s="124">
        <v>125</v>
      </c>
      <c r="F45" s="124">
        <v>200</v>
      </c>
      <c r="G45" s="135">
        <f>N48</f>
        <v>3200</v>
      </c>
      <c r="K45"/>
      <c r="L45"/>
      <c r="M45" s="159" t="s">
        <v>344</v>
      </c>
      <c r="N45" s="196">
        <v>2700</v>
      </c>
      <c r="O45" s="196">
        <v>4800</v>
      </c>
      <c r="P45" s="197">
        <v>16900</v>
      </c>
      <c r="Q45" s="198"/>
      <c r="R45"/>
    </row>
    <row r="46" spans="1:18" ht="14.4" x14ac:dyDescent="0.3">
      <c r="A46" s="124">
        <v>150</v>
      </c>
      <c r="B46" s="132">
        <v>200</v>
      </c>
      <c r="C46" s="137">
        <v>87600</v>
      </c>
      <c r="E46" s="124">
        <v>150</v>
      </c>
      <c r="F46" s="124">
        <v>200</v>
      </c>
      <c r="G46" s="135">
        <f>N49</f>
        <v>4000</v>
      </c>
      <c r="K46"/>
      <c r="L46"/>
      <c r="M46" s="159" t="s">
        <v>345</v>
      </c>
      <c r="N46" s="196">
        <v>2800</v>
      </c>
      <c r="O46" s="196">
        <v>5500</v>
      </c>
      <c r="P46" s="197">
        <v>18800</v>
      </c>
      <c r="Q46" s="198"/>
      <c r="R46"/>
    </row>
    <row r="47" spans="1:18" ht="14.4" x14ac:dyDescent="0.3">
      <c r="A47" s="124">
        <v>175</v>
      </c>
      <c r="B47" s="132">
        <v>200</v>
      </c>
      <c r="C47" s="137">
        <v>94800</v>
      </c>
      <c r="E47" s="124">
        <v>175</v>
      </c>
      <c r="F47" s="124">
        <v>200</v>
      </c>
      <c r="G47" s="135">
        <v>4000</v>
      </c>
      <c r="K47"/>
      <c r="L47"/>
      <c r="M47" s="159" t="s">
        <v>346</v>
      </c>
      <c r="N47" s="196">
        <v>3300</v>
      </c>
      <c r="O47" s="196">
        <v>6600</v>
      </c>
      <c r="P47" s="197">
        <v>20000</v>
      </c>
      <c r="Q47" s="198"/>
      <c r="R47"/>
    </row>
    <row r="48" spans="1:18" ht="14.4" x14ac:dyDescent="0.3">
      <c r="A48" s="124">
        <v>200</v>
      </c>
      <c r="B48" s="132">
        <v>200</v>
      </c>
      <c r="C48" s="137">
        <v>102000</v>
      </c>
      <c r="E48" s="124">
        <v>200</v>
      </c>
      <c r="F48" s="124">
        <v>200</v>
      </c>
      <c r="G48" s="135">
        <f>N50</f>
        <v>4000</v>
      </c>
      <c r="K48"/>
      <c r="L48"/>
      <c r="M48" s="159" t="s">
        <v>347</v>
      </c>
      <c r="N48" s="196">
        <v>3200</v>
      </c>
      <c r="O48" s="196">
        <v>6900</v>
      </c>
      <c r="P48" s="197">
        <v>20700</v>
      </c>
      <c r="Q48" s="198"/>
      <c r="R48"/>
    </row>
    <row r="49" spans="1:18" ht="14.4" x14ac:dyDescent="0.3">
      <c r="A49" s="124">
        <v>238</v>
      </c>
      <c r="B49" s="132">
        <v>200</v>
      </c>
      <c r="C49" s="137">
        <v>117600</v>
      </c>
      <c r="E49" s="124">
        <v>238</v>
      </c>
      <c r="F49" s="124">
        <v>200</v>
      </c>
      <c r="G49" s="136">
        <v>4000</v>
      </c>
      <c r="K49"/>
      <c r="L49"/>
      <c r="M49" s="159">
        <v>150</v>
      </c>
      <c r="N49" s="196">
        <v>4000</v>
      </c>
      <c r="O49" s="196">
        <v>8400</v>
      </c>
      <c r="P49" s="197">
        <v>22500</v>
      </c>
      <c r="Q49" s="198"/>
      <c r="R49"/>
    </row>
    <row r="50" spans="1:18" ht="14.4" x14ac:dyDescent="0.3">
      <c r="A50" s="124">
        <v>250</v>
      </c>
      <c r="B50" s="132">
        <v>200</v>
      </c>
      <c r="C50" s="137">
        <v>117600</v>
      </c>
      <c r="E50" s="124">
        <v>250</v>
      </c>
      <c r="F50" s="124">
        <v>200</v>
      </c>
      <c r="G50" s="135">
        <f>N51</f>
        <v>4000</v>
      </c>
      <c r="K50"/>
      <c r="L50"/>
      <c r="M50" s="159">
        <v>200</v>
      </c>
      <c r="N50" s="196">
        <v>4000</v>
      </c>
      <c r="O50" s="196">
        <v>10250</v>
      </c>
      <c r="P50" s="197">
        <v>25000</v>
      </c>
      <c r="Q50" s="198"/>
      <c r="R50"/>
    </row>
    <row r="51" spans="1:18" ht="14.4" x14ac:dyDescent="0.3">
      <c r="A51" s="124">
        <v>300</v>
      </c>
      <c r="B51" s="132">
        <v>200</v>
      </c>
      <c r="C51" s="137">
        <v>140400</v>
      </c>
      <c r="E51" s="124">
        <v>300</v>
      </c>
      <c r="F51" s="124">
        <v>200</v>
      </c>
      <c r="G51" s="135">
        <f t="shared" ref="G51:G58" si="0">N51</f>
        <v>4000</v>
      </c>
      <c r="K51"/>
      <c r="L51"/>
      <c r="M51" s="159" t="s">
        <v>348</v>
      </c>
      <c r="N51" s="196">
        <v>4000</v>
      </c>
      <c r="O51" s="196">
        <v>10250</v>
      </c>
      <c r="P51" s="197">
        <v>25000</v>
      </c>
      <c r="Q51" s="198"/>
      <c r="R51"/>
    </row>
    <row r="52" spans="1:18" ht="14.4" x14ac:dyDescent="0.3">
      <c r="A52" s="124">
        <v>350</v>
      </c>
      <c r="B52" s="132">
        <v>200</v>
      </c>
      <c r="C52" s="137">
        <v>151200</v>
      </c>
      <c r="E52" s="124">
        <v>350</v>
      </c>
      <c r="F52" s="124">
        <v>200</v>
      </c>
      <c r="G52" s="135">
        <f t="shared" si="0"/>
        <v>4700</v>
      </c>
      <c r="K52"/>
      <c r="L52"/>
      <c r="M52" s="159">
        <v>350</v>
      </c>
      <c r="N52" s="196">
        <v>4700</v>
      </c>
      <c r="O52" s="196">
        <v>11000</v>
      </c>
      <c r="P52" s="197">
        <v>28200</v>
      </c>
      <c r="Q52" s="198"/>
      <c r="R52"/>
    </row>
    <row r="53" spans="1:18" ht="14.4" x14ac:dyDescent="0.3">
      <c r="A53" s="124">
        <v>400</v>
      </c>
      <c r="B53" s="132">
        <v>200</v>
      </c>
      <c r="C53" s="137">
        <v>160800</v>
      </c>
      <c r="E53" s="124">
        <v>400</v>
      </c>
      <c r="F53" s="124">
        <v>200</v>
      </c>
      <c r="G53" s="135">
        <f t="shared" si="0"/>
        <v>4200</v>
      </c>
      <c r="K53"/>
      <c r="L53"/>
      <c r="M53" s="159">
        <v>400</v>
      </c>
      <c r="N53" s="196">
        <v>4200</v>
      </c>
      <c r="O53" s="196">
        <v>14500</v>
      </c>
      <c r="P53" s="197">
        <v>30700</v>
      </c>
      <c r="Q53" s="198"/>
      <c r="R53"/>
    </row>
    <row r="54" spans="1:18" ht="14.4" x14ac:dyDescent="0.3">
      <c r="A54" s="124">
        <v>500</v>
      </c>
      <c r="B54" s="132">
        <v>200</v>
      </c>
      <c r="C54" s="137">
        <v>187200</v>
      </c>
      <c r="E54" s="124">
        <v>500</v>
      </c>
      <c r="F54" s="124">
        <v>200</v>
      </c>
      <c r="G54" s="135">
        <f t="shared" si="0"/>
        <v>4100</v>
      </c>
      <c r="K54"/>
      <c r="L54"/>
      <c r="M54" s="159">
        <v>500</v>
      </c>
      <c r="N54" s="196">
        <v>4100</v>
      </c>
      <c r="O54" s="196">
        <v>13000</v>
      </c>
      <c r="P54" s="197">
        <v>31200</v>
      </c>
      <c r="Q54" s="198"/>
      <c r="R54"/>
    </row>
    <row r="55" spans="1:18" ht="14.4" x14ac:dyDescent="0.3">
      <c r="A55" s="124">
        <v>600</v>
      </c>
      <c r="B55" s="132">
        <v>200</v>
      </c>
      <c r="C55" s="137">
        <v>214800</v>
      </c>
      <c r="E55" s="124">
        <v>600</v>
      </c>
      <c r="F55" s="124">
        <v>200</v>
      </c>
      <c r="G55" s="135">
        <f t="shared" si="0"/>
        <v>4500</v>
      </c>
      <c r="K55"/>
      <c r="L55"/>
      <c r="M55" s="159">
        <v>600</v>
      </c>
      <c r="N55" s="196">
        <v>4500</v>
      </c>
      <c r="O55" s="196">
        <v>15200</v>
      </c>
      <c r="P55" s="197">
        <v>33500</v>
      </c>
      <c r="Q55" s="198"/>
      <c r="R55"/>
    </row>
    <row r="56" spans="1:18" ht="14.4" x14ac:dyDescent="0.3">
      <c r="A56" s="124">
        <v>700</v>
      </c>
      <c r="B56" s="132">
        <v>200</v>
      </c>
      <c r="C56" s="137">
        <v>248400</v>
      </c>
      <c r="E56" s="124">
        <v>700</v>
      </c>
      <c r="F56" s="124">
        <v>200</v>
      </c>
      <c r="G56" s="135">
        <f t="shared" si="0"/>
        <v>6500</v>
      </c>
      <c r="K56"/>
      <c r="L56"/>
      <c r="M56" s="159">
        <v>700</v>
      </c>
      <c r="N56" s="196">
        <v>6500</v>
      </c>
      <c r="O56" s="196">
        <v>21800</v>
      </c>
      <c r="P56" s="197">
        <v>42500</v>
      </c>
      <c r="Q56" s="198"/>
      <c r="R56"/>
    </row>
    <row r="57" spans="1:18" ht="14.4" x14ac:dyDescent="0.3">
      <c r="A57" s="124">
        <v>800</v>
      </c>
      <c r="B57" s="132">
        <v>200</v>
      </c>
      <c r="C57" s="137">
        <v>266400</v>
      </c>
      <c r="E57" s="124">
        <v>800</v>
      </c>
      <c r="F57" s="124">
        <v>200</v>
      </c>
      <c r="G57" s="135">
        <f t="shared" si="0"/>
        <v>7500</v>
      </c>
      <c r="H57" s="128"/>
      <c r="I57" s="135"/>
      <c r="K57"/>
      <c r="L57"/>
      <c r="M57" s="159">
        <v>800</v>
      </c>
      <c r="N57" s="196">
        <v>7500</v>
      </c>
      <c r="O57" s="196">
        <v>28000</v>
      </c>
      <c r="P57" s="197">
        <v>45000</v>
      </c>
      <c r="Q57"/>
      <c r="R57"/>
    </row>
    <row r="58" spans="1:18" ht="15" thickBot="1" x14ac:dyDescent="0.35">
      <c r="A58" s="124">
        <v>900</v>
      </c>
      <c r="B58" s="132">
        <v>200</v>
      </c>
      <c r="C58" s="137">
        <v>288000</v>
      </c>
      <c r="E58" s="124">
        <v>900</v>
      </c>
      <c r="F58" s="124">
        <v>200</v>
      </c>
      <c r="G58" s="135">
        <f t="shared" si="0"/>
        <v>8500</v>
      </c>
      <c r="H58" s="128"/>
      <c r="I58" s="135"/>
      <c r="K58"/>
      <c r="L58"/>
      <c r="M58" s="319">
        <v>900</v>
      </c>
      <c r="N58" s="320">
        <v>8500</v>
      </c>
      <c r="O58" s="320">
        <v>35000</v>
      </c>
      <c r="P58" s="321">
        <v>50000</v>
      </c>
      <c r="Q58"/>
      <c r="R58"/>
    </row>
    <row r="59" spans="1:18" x14ac:dyDescent="0.2">
      <c r="A59" s="124">
        <v>40</v>
      </c>
      <c r="B59" s="132">
        <v>250</v>
      </c>
      <c r="C59" s="137">
        <v>49200</v>
      </c>
      <c r="E59" s="124">
        <v>40</v>
      </c>
      <c r="F59" s="132">
        <v>250</v>
      </c>
      <c r="G59" s="134">
        <f>O46</f>
        <v>5500</v>
      </c>
      <c r="K59" s="128"/>
      <c r="L59" s="129"/>
      <c r="N59" s="124"/>
      <c r="O59" s="128"/>
      <c r="P59" s="131"/>
      <c r="R59" s="124"/>
    </row>
    <row r="60" spans="1:18" ht="14.4" x14ac:dyDescent="0.3">
      <c r="A60" s="124">
        <v>50</v>
      </c>
      <c r="B60" s="132">
        <v>250</v>
      </c>
      <c r="C60" s="137">
        <v>50400</v>
      </c>
      <c r="E60" s="124">
        <v>50</v>
      </c>
      <c r="F60" s="132">
        <v>250</v>
      </c>
      <c r="G60" s="135">
        <f>O46</f>
        <v>5500</v>
      </c>
      <c r="H60" s="128"/>
      <c r="I60" s="129"/>
      <c r="K60" s="124"/>
      <c r="L60" s="128"/>
      <c r="M60" s="129"/>
      <c r="O60" s="126"/>
      <c r="P60" s="121"/>
      <c r="Q60" s="127"/>
      <c r="R60" s="120"/>
    </row>
    <row r="61" spans="1:18" ht="14.4" x14ac:dyDescent="0.3">
      <c r="A61" s="124">
        <v>60</v>
      </c>
      <c r="B61" s="132">
        <v>250</v>
      </c>
      <c r="C61" s="137">
        <v>54000</v>
      </c>
      <c r="E61" s="124">
        <v>60</v>
      </c>
      <c r="F61" s="132">
        <v>250</v>
      </c>
      <c r="G61" s="135">
        <f>O47</f>
        <v>6600</v>
      </c>
      <c r="H61" s="128"/>
      <c r="I61" s="129"/>
      <c r="K61" s="124"/>
      <c r="L61" s="128"/>
      <c r="M61" s="129"/>
      <c r="O61" s="126"/>
      <c r="P61" s="121"/>
      <c r="Q61" s="127"/>
      <c r="R61" s="120"/>
    </row>
    <row r="62" spans="1:18" x14ac:dyDescent="0.2">
      <c r="A62" s="124">
        <v>70</v>
      </c>
      <c r="B62" s="132">
        <v>250</v>
      </c>
      <c r="C62" s="137">
        <v>57600</v>
      </c>
      <c r="E62" s="124">
        <v>70</v>
      </c>
      <c r="F62" s="132">
        <v>250</v>
      </c>
      <c r="G62" s="135">
        <f>O47</f>
        <v>6600</v>
      </c>
      <c r="H62" s="128"/>
      <c r="I62" s="129"/>
      <c r="K62" s="124"/>
      <c r="L62" s="128"/>
      <c r="M62" s="129"/>
      <c r="O62" s="124"/>
    </row>
    <row r="63" spans="1:18" x14ac:dyDescent="0.2">
      <c r="A63" s="124">
        <v>80</v>
      </c>
      <c r="B63" s="132">
        <v>250</v>
      </c>
      <c r="C63" s="137">
        <v>62400</v>
      </c>
      <c r="E63" s="124">
        <v>80</v>
      </c>
      <c r="F63" s="132">
        <v>250</v>
      </c>
      <c r="G63" s="135">
        <f>O47</f>
        <v>6600</v>
      </c>
      <c r="H63" s="128"/>
      <c r="I63" s="129"/>
      <c r="K63" s="124"/>
      <c r="L63" s="128"/>
      <c r="M63" s="129"/>
      <c r="O63" s="124"/>
    </row>
    <row r="64" spans="1:18" x14ac:dyDescent="0.2">
      <c r="A64" s="124">
        <v>100</v>
      </c>
      <c r="B64" s="132">
        <v>250</v>
      </c>
      <c r="C64" s="137">
        <v>68400</v>
      </c>
      <c r="E64" s="124">
        <v>100</v>
      </c>
      <c r="F64" s="132">
        <v>250</v>
      </c>
      <c r="G64" s="135">
        <f>O48</f>
        <v>6900</v>
      </c>
      <c r="H64" s="128"/>
      <c r="I64" s="129"/>
      <c r="K64" s="124"/>
      <c r="L64" s="128"/>
      <c r="M64" s="129"/>
      <c r="O64" s="124"/>
    </row>
    <row r="65" spans="1:15" x14ac:dyDescent="0.2">
      <c r="A65" s="124">
        <v>125</v>
      </c>
      <c r="B65" s="132">
        <v>250</v>
      </c>
      <c r="C65" s="137">
        <v>74400</v>
      </c>
      <c r="E65" s="124">
        <v>125</v>
      </c>
      <c r="F65" s="132">
        <v>250</v>
      </c>
      <c r="G65" s="135">
        <f>O48</f>
        <v>6900</v>
      </c>
      <c r="H65" s="128"/>
      <c r="I65" s="129"/>
      <c r="K65" s="124"/>
      <c r="L65" s="128"/>
      <c r="M65" s="129"/>
      <c r="O65" s="124"/>
    </row>
    <row r="66" spans="1:15" x14ac:dyDescent="0.2">
      <c r="A66" s="124">
        <v>150</v>
      </c>
      <c r="B66" s="132">
        <v>250</v>
      </c>
      <c r="C66" s="137">
        <v>87600</v>
      </c>
      <c r="E66" s="124">
        <v>150</v>
      </c>
      <c r="F66" s="132">
        <v>250</v>
      </c>
      <c r="G66" s="135">
        <f>O49</f>
        <v>8400</v>
      </c>
      <c r="H66" s="128"/>
      <c r="I66" s="129"/>
      <c r="K66" s="124"/>
      <c r="L66" s="128"/>
      <c r="M66" s="129"/>
      <c r="O66" s="124"/>
    </row>
    <row r="67" spans="1:15" x14ac:dyDescent="0.2">
      <c r="A67" s="124">
        <v>175</v>
      </c>
      <c r="B67" s="132">
        <v>250</v>
      </c>
      <c r="C67" s="137">
        <v>94800</v>
      </c>
      <c r="E67" s="124">
        <v>175</v>
      </c>
      <c r="F67" s="132">
        <v>250</v>
      </c>
      <c r="G67" s="135">
        <v>8400</v>
      </c>
    </row>
    <row r="68" spans="1:15" x14ac:dyDescent="0.2">
      <c r="A68" s="124">
        <v>200</v>
      </c>
      <c r="B68" s="132">
        <v>250</v>
      </c>
      <c r="C68" s="137">
        <v>102000</v>
      </c>
      <c r="E68" s="124">
        <v>200</v>
      </c>
      <c r="F68" s="132">
        <v>250</v>
      </c>
      <c r="G68" s="135">
        <f>O50</f>
        <v>10250</v>
      </c>
    </row>
    <row r="69" spans="1:15" x14ac:dyDescent="0.2">
      <c r="A69" s="124">
        <v>238</v>
      </c>
      <c r="B69" s="132">
        <v>250</v>
      </c>
      <c r="C69" s="137">
        <v>117600</v>
      </c>
      <c r="E69" s="124">
        <v>238</v>
      </c>
      <c r="F69" s="132">
        <v>250</v>
      </c>
      <c r="G69" s="136">
        <v>10250</v>
      </c>
    </row>
    <row r="70" spans="1:15" x14ac:dyDescent="0.2">
      <c r="A70" s="124">
        <v>250</v>
      </c>
      <c r="B70" s="132">
        <v>250</v>
      </c>
      <c r="C70" s="137">
        <v>117600</v>
      </c>
      <c r="E70" s="124">
        <v>250</v>
      </c>
      <c r="F70" s="132">
        <v>250</v>
      </c>
      <c r="G70" s="135">
        <f>O51</f>
        <v>10250</v>
      </c>
    </row>
    <row r="71" spans="1:15" x14ac:dyDescent="0.2">
      <c r="A71" s="124">
        <v>300</v>
      </c>
      <c r="B71" s="132">
        <v>250</v>
      </c>
      <c r="C71" s="137">
        <v>140400</v>
      </c>
      <c r="E71" s="124">
        <v>300</v>
      </c>
      <c r="F71" s="132">
        <v>250</v>
      </c>
      <c r="G71" s="135">
        <f t="shared" ref="G71:G76" si="1">O51</f>
        <v>10250</v>
      </c>
    </row>
    <row r="72" spans="1:15" x14ac:dyDescent="0.2">
      <c r="A72" s="124">
        <v>350</v>
      </c>
      <c r="B72" s="132">
        <v>250</v>
      </c>
      <c r="C72" s="137">
        <v>151200</v>
      </c>
      <c r="E72" s="124">
        <v>350</v>
      </c>
      <c r="F72" s="132">
        <v>250</v>
      </c>
      <c r="G72" s="135">
        <f t="shared" si="1"/>
        <v>11000</v>
      </c>
    </row>
    <row r="73" spans="1:15" x14ac:dyDescent="0.2">
      <c r="A73" s="124">
        <v>400</v>
      </c>
      <c r="B73" s="132">
        <v>250</v>
      </c>
      <c r="C73" s="137">
        <v>160800</v>
      </c>
      <c r="E73" s="124">
        <v>400</v>
      </c>
      <c r="F73" s="132">
        <v>250</v>
      </c>
      <c r="G73" s="135">
        <f t="shared" si="1"/>
        <v>14500</v>
      </c>
    </row>
    <row r="74" spans="1:15" x14ac:dyDescent="0.2">
      <c r="A74" s="124">
        <v>500</v>
      </c>
      <c r="B74" s="132">
        <v>250</v>
      </c>
      <c r="C74" s="137">
        <v>187200</v>
      </c>
      <c r="E74" s="124">
        <v>500</v>
      </c>
      <c r="F74" s="132">
        <v>250</v>
      </c>
      <c r="G74" s="135">
        <f t="shared" si="1"/>
        <v>13000</v>
      </c>
    </row>
    <row r="75" spans="1:15" x14ac:dyDescent="0.2">
      <c r="A75" s="124">
        <v>600</v>
      </c>
      <c r="B75" s="132">
        <v>250</v>
      </c>
      <c r="C75" s="137">
        <v>214800</v>
      </c>
      <c r="E75" s="124">
        <v>600</v>
      </c>
      <c r="F75" s="132">
        <v>250</v>
      </c>
      <c r="G75" s="135">
        <f t="shared" si="1"/>
        <v>15200</v>
      </c>
    </row>
    <row r="76" spans="1:15" x14ac:dyDescent="0.2">
      <c r="A76" s="124">
        <v>700</v>
      </c>
      <c r="B76" s="132">
        <v>250</v>
      </c>
      <c r="C76" s="137">
        <v>248400</v>
      </c>
      <c r="E76" s="124">
        <v>700</v>
      </c>
      <c r="F76" s="132">
        <v>250</v>
      </c>
      <c r="G76" s="135">
        <f t="shared" si="1"/>
        <v>21800</v>
      </c>
    </row>
    <row r="77" spans="1:15" x14ac:dyDescent="0.2">
      <c r="A77" s="124">
        <v>800</v>
      </c>
      <c r="B77" s="132">
        <v>250</v>
      </c>
      <c r="E77" s="124">
        <v>40</v>
      </c>
      <c r="F77" s="132">
        <v>300</v>
      </c>
      <c r="G77" s="134">
        <f>P46</f>
        <v>18800</v>
      </c>
    </row>
    <row r="78" spans="1:15" x14ac:dyDescent="0.2">
      <c r="A78" s="124">
        <v>900</v>
      </c>
      <c r="B78" s="132">
        <v>250</v>
      </c>
      <c r="E78" s="124">
        <v>50</v>
      </c>
      <c r="F78" s="132">
        <v>300</v>
      </c>
      <c r="G78" s="135">
        <f>P46</f>
        <v>18800</v>
      </c>
    </row>
    <row r="79" spans="1:15" x14ac:dyDescent="0.2">
      <c r="A79" s="124">
        <v>40</v>
      </c>
      <c r="B79" s="132">
        <v>300</v>
      </c>
      <c r="C79" s="134">
        <v>49200</v>
      </c>
      <c r="E79" s="124">
        <v>60</v>
      </c>
      <c r="F79" s="132">
        <v>300</v>
      </c>
      <c r="G79" s="135">
        <f>P47</f>
        <v>20000</v>
      </c>
    </row>
    <row r="80" spans="1:15" x14ac:dyDescent="0.2">
      <c r="A80" s="124">
        <v>50</v>
      </c>
      <c r="B80" s="132">
        <v>300</v>
      </c>
      <c r="C80" s="135">
        <v>50400</v>
      </c>
      <c r="E80" s="124">
        <v>70</v>
      </c>
      <c r="F80" s="132">
        <v>300</v>
      </c>
      <c r="G80" s="135">
        <f>P47</f>
        <v>20000</v>
      </c>
    </row>
    <row r="81" spans="1:7" x14ac:dyDescent="0.2">
      <c r="A81" s="124">
        <v>60</v>
      </c>
      <c r="B81" s="132">
        <v>300</v>
      </c>
      <c r="C81" s="135">
        <v>54000</v>
      </c>
      <c r="E81" s="124">
        <v>80</v>
      </c>
      <c r="F81" s="132">
        <v>300</v>
      </c>
      <c r="G81" s="135">
        <f>P47</f>
        <v>20000</v>
      </c>
    </row>
    <row r="82" spans="1:7" x14ac:dyDescent="0.2">
      <c r="A82" s="124">
        <v>70</v>
      </c>
      <c r="B82" s="132">
        <v>300</v>
      </c>
      <c r="C82" s="135">
        <v>57600</v>
      </c>
      <c r="E82" s="124">
        <v>100</v>
      </c>
      <c r="F82" s="132">
        <v>300</v>
      </c>
      <c r="G82" s="135">
        <f>P48</f>
        <v>20700</v>
      </c>
    </row>
    <row r="83" spans="1:7" x14ac:dyDescent="0.2">
      <c r="A83" s="124">
        <v>80</v>
      </c>
      <c r="B83" s="132">
        <v>300</v>
      </c>
      <c r="C83" s="135">
        <v>62400</v>
      </c>
      <c r="E83" s="124">
        <v>125</v>
      </c>
      <c r="F83" s="132">
        <v>300</v>
      </c>
      <c r="G83" s="135">
        <f>P48</f>
        <v>20700</v>
      </c>
    </row>
    <row r="84" spans="1:7" x14ac:dyDescent="0.2">
      <c r="A84" s="124">
        <v>100</v>
      </c>
      <c r="B84" s="132">
        <v>300</v>
      </c>
      <c r="C84" s="135">
        <v>68400</v>
      </c>
      <c r="E84" s="124">
        <v>150</v>
      </c>
      <c r="F84" s="132">
        <v>300</v>
      </c>
      <c r="G84" s="135">
        <f>P49</f>
        <v>22500</v>
      </c>
    </row>
    <row r="85" spans="1:7" x14ac:dyDescent="0.2">
      <c r="A85" s="124">
        <v>125</v>
      </c>
      <c r="B85" s="132">
        <v>300</v>
      </c>
      <c r="C85" s="135">
        <v>74400</v>
      </c>
      <c r="E85" s="124">
        <v>175</v>
      </c>
      <c r="F85" s="132">
        <v>300</v>
      </c>
      <c r="G85" s="135">
        <v>22500</v>
      </c>
    </row>
    <row r="86" spans="1:7" x14ac:dyDescent="0.2">
      <c r="A86" s="124">
        <v>150</v>
      </c>
      <c r="B86" s="132">
        <v>300</v>
      </c>
      <c r="C86" s="135">
        <v>87600</v>
      </c>
      <c r="E86" s="124">
        <v>200</v>
      </c>
      <c r="F86" s="132">
        <v>300</v>
      </c>
      <c r="G86" s="135">
        <f>P50</f>
        <v>25000</v>
      </c>
    </row>
    <row r="87" spans="1:7" x14ac:dyDescent="0.2">
      <c r="A87" s="124">
        <v>175</v>
      </c>
      <c r="B87" s="132">
        <v>300</v>
      </c>
      <c r="C87" s="135">
        <v>94800</v>
      </c>
      <c r="E87" s="124">
        <v>238</v>
      </c>
      <c r="F87" s="132">
        <v>300</v>
      </c>
      <c r="G87" s="136">
        <v>25000</v>
      </c>
    </row>
    <row r="88" spans="1:7" x14ac:dyDescent="0.2">
      <c r="A88" s="124">
        <v>200</v>
      </c>
      <c r="B88" s="132">
        <v>300</v>
      </c>
      <c r="C88" s="135">
        <v>102000</v>
      </c>
      <c r="E88" s="124">
        <v>250</v>
      </c>
      <c r="F88" s="132">
        <v>300</v>
      </c>
      <c r="G88" s="135">
        <f>P51</f>
        <v>25000</v>
      </c>
    </row>
    <row r="89" spans="1:7" x14ac:dyDescent="0.2">
      <c r="A89" s="124">
        <v>238</v>
      </c>
      <c r="B89" s="132">
        <v>300</v>
      </c>
      <c r="C89" s="136">
        <v>117600</v>
      </c>
      <c r="E89" s="124">
        <v>300</v>
      </c>
      <c r="F89" s="132">
        <v>300</v>
      </c>
      <c r="G89" s="135">
        <f t="shared" ref="G89:G94" si="2">P51</f>
        <v>25000</v>
      </c>
    </row>
    <row r="90" spans="1:7" x14ac:dyDescent="0.2">
      <c r="A90" s="124">
        <v>250</v>
      </c>
      <c r="B90" s="132">
        <v>300</v>
      </c>
      <c r="C90" s="135">
        <v>117600</v>
      </c>
      <c r="E90" s="124">
        <v>350</v>
      </c>
      <c r="F90" s="132">
        <v>300</v>
      </c>
      <c r="G90" s="135">
        <f t="shared" si="2"/>
        <v>28200</v>
      </c>
    </row>
    <row r="91" spans="1:7" x14ac:dyDescent="0.2">
      <c r="A91" s="124">
        <v>300</v>
      </c>
      <c r="B91" s="132">
        <v>300</v>
      </c>
      <c r="C91" s="135">
        <v>140400</v>
      </c>
      <c r="E91" s="124">
        <v>400</v>
      </c>
      <c r="F91" s="132">
        <v>300</v>
      </c>
      <c r="G91" s="135">
        <f t="shared" si="2"/>
        <v>30700</v>
      </c>
    </row>
    <row r="92" spans="1:7" x14ac:dyDescent="0.2">
      <c r="A92" s="124">
        <v>350</v>
      </c>
      <c r="B92" s="132">
        <v>300</v>
      </c>
      <c r="C92" s="135">
        <v>151200</v>
      </c>
      <c r="E92" s="124">
        <v>500</v>
      </c>
      <c r="F92" s="132">
        <v>300</v>
      </c>
      <c r="G92" s="135">
        <f t="shared" si="2"/>
        <v>31200</v>
      </c>
    </row>
    <row r="93" spans="1:7" x14ac:dyDescent="0.2">
      <c r="A93" s="124">
        <v>400</v>
      </c>
      <c r="B93" s="132">
        <v>300</v>
      </c>
      <c r="C93" s="135">
        <v>160800</v>
      </c>
      <c r="E93" s="124">
        <v>600</v>
      </c>
      <c r="F93" s="132">
        <v>300</v>
      </c>
      <c r="G93" s="135">
        <f t="shared" si="2"/>
        <v>33500</v>
      </c>
    </row>
    <row r="94" spans="1:7" x14ac:dyDescent="0.2">
      <c r="A94" s="124">
        <v>500</v>
      </c>
      <c r="B94" s="132">
        <v>300</v>
      </c>
      <c r="C94" s="135">
        <v>187200</v>
      </c>
      <c r="E94" s="124">
        <v>700</v>
      </c>
      <c r="F94" s="132">
        <v>300</v>
      </c>
      <c r="G94" s="135">
        <f t="shared" si="2"/>
        <v>42500</v>
      </c>
    </row>
    <row r="95" spans="1:7" x14ac:dyDescent="0.2">
      <c r="A95" s="124">
        <v>600</v>
      </c>
      <c r="B95" s="132">
        <v>300</v>
      </c>
      <c r="C95" s="135">
        <v>214800</v>
      </c>
      <c r="G95" s="134"/>
    </row>
    <row r="96" spans="1:7" x14ac:dyDescent="0.2">
      <c r="A96" s="124">
        <v>700</v>
      </c>
      <c r="B96" s="132">
        <v>300</v>
      </c>
      <c r="C96" s="135">
        <v>248400</v>
      </c>
      <c r="G96" s="134"/>
    </row>
    <row r="97" spans="1:7" x14ac:dyDescent="0.2">
      <c r="A97" s="124">
        <v>800</v>
      </c>
      <c r="B97" s="132">
        <v>300</v>
      </c>
      <c r="G97" s="135"/>
    </row>
    <row r="98" spans="1:7" x14ac:dyDescent="0.2">
      <c r="A98" s="124">
        <v>900</v>
      </c>
      <c r="B98" s="132">
        <v>300</v>
      </c>
      <c r="G98" s="135"/>
    </row>
  </sheetData>
  <mergeCells count="1">
    <mergeCell ref="K40:R4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6BAC7E-FDA4-4EAF-A10C-A0896F8713AE}">
  <sheetPr codeName="Sheet6"/>
  <dimension ref="B1:T95"/>
  <sheetViews>
    <sheetView workbookViewId="0">
      <selection activeCell="K25" sqref="K25"/>
    </sheetView>
  </sheetViews>
  <sheetFormatPr defaultRowHeight="14.4" x14ac:dyDescent="0.3"/>
  <cols>
    <col min="4" max="9" width="18.109375" customWidth="1"/>
    <col min="24" max="24" width="14.88671875" customWidth="1"/>
  </cols>
  <sheetData>
    <row r="1" spans="2:20" x14ac:dyDescent="0.3">
      <c r="B1" s="344" t="s">
        <v>259</v>
      </c>
      <c r="C1" s="345"/>
      <c r="D1" s="346" t="s">
        <v>248</v>
      </c>
      <c r="E1" s="347"/>
      <c r="F1" s="348"/>
      <c r="G1" s="346" t="s">
        <v>249</v>
      </c>
      <c r="H1" s="347"/>
      <c r="I1" s="348"/>
    </row>
    <row r="2" spans="2:20" x14ac:dyDescent="0.3">
      <c r="B2" s="349" t="s">
        <v>260</v>
      </c>
      <c r="C2" s="350"/>
      <c r="D2" s="169" t="s">
        <v>251</v>
      </c>
      <c r="E2" s="169" t="s">
        <v>252</v>
      </c>
      <c r="F2" s="170" t="s">
        <v>253</v>
      </c>
      <c r="G2" s="169" t="s">
        <v>254</v>
      </c>
      <c r="H2" s="169" t="s">
        <v>255</v>
      </c>
      <c r="I2" s="170" t="s">
        <v>256</v>
      </c>
      <c r="K2" t="s">
        <v>1</v>
      </c>
    </row>
    <row r="3" spans="2:20" x14ac:dyDescent="0.3">
      <c r="B3" s="177" t="s">
        <v>257</v>
      </c>
      <c r="C3" s="171" t="s">
        <v>36</v>
      </c>
      <c r="D3" s="171">
        <v>1</v>
      </c>
      <c r="E3" s="171">
        <v>2</v>
      </c>
      <c r="F3" s="172">
        <v>3</v>
      </c>
      <c r="G3" s="171">
        <v>4</v>
      </c>
      <c r="H3" s="171">
        <v>5</v>
      </c>
      <c r="I3" s="172">
        <v>6</v>
      </c>
    </row>
    <row r="4" spans="2:20" x14ac:dyDescent="0.3">
      <c r="B4" s="178">
        <v>1</v>
      </c>
      <c r="C4" s="179">
        <v>1</v>
      </c>
      <c r="D4" s="187" t="s">
        <v>261</v>
      </c>
      <c r="E4" s="187" t="s">
        <v>262</v>
      </c>
      <c r="F4" s="187" t="s">
        <v>261</v>
      </c>
      <c r="G4" s="188" t="s">
        <v>263</v>
      </c>
      <c r="H4" s="180" t="s">
        <v>264</v>
      </c>
      <c r="I4" s="180" t="s">
        <v>264</v>
      </c>
    </row>
    <row r="5" spans="2:20" x14ac:dyDescent="0.3">
      <c r="B5" s="178">
        <v>1.5</v>
      </c>
      <c r="C5" s="179">
        <v>2</v>
      </c>
      <c r="D5" s="173" t="s">
        <v>265</v>
      </c>
      <c r="E5" s="173" t="s">
        <v>266</v>
      </c>
      <c r="F5" s="173" t="s">
        <v>265</v>
      </c>
      <c r="G5" s="180" t="s">
        <v>267</v>
      </c>
      <c r="H5" s="180" t="s">
        <v>268</v>
      </c>
      <c r="I5" s="180" t="s">
        <v>268</v>
      </c>
    </row>
    <row r="6" spans="2:20" x14ac:dyDescent="0.3">
      <c r="B6" s="178">
        <v>2</v>
      </c>
      <c r="C6" s="179">
        <v>3</v>
      </c>
      <c r="D6" s="173" t="s">
        <v>269</v>
      </c>
      <c r="E6" s="182" t="s">
        <v>270</v>
      </c>
      <c r="F6" s="173" t="s">
        <v>269</v>
      </c>
      <c r="G6" s="180" t="s">
        <v>271</v>
      </c>
      <c r="H6" s="180" t="s">
        <v>272</v>
      </c>
      <c r="I6" s="180" t="s">
        <v>272</v>
      </c>
      <c r="L6">
        <v>3</v>
      </c>
      <c r="M6">
        <v>5</v>
      </c>
      <c r="N6">
        <v>7.5</v>
      </c>
      <c r="O6">
        <v>10</v>
      </c>
      <c r="P6">
        <v>15</v>
      </c>
      <c r="Q6">
        <v>20</v>
      </c>
      <c r="R6">
        <v>25</v>
      </c>
      <c r="S6">
        <v>30</v>
      </c>
      <c r="T6">
        <v>40</v>
      </c>
    </row>
    <row r="7" spans="2:20" x14ac:dyDescent="0.3">
      <c r="B7" s="178">
        <v>3</v>
      </c>
      <c r="C7" s="179">
        <v>4</v>
      </c>
      <c r="D7" s="173" t="s">
        <v>273</v>
      </c>
      <c r="E7" s="173" t="s">
        <v>274</v>
      </c>
      <c r="F7" s="173" t="s">
        <v>273</v>
      </c>
      <c r="G7" s="180" t="s">
        <v>275</v>
      </c>
      <c r="H7" s="180" t="s">
        <v>276</v>
      </c>
      <c r="I7" s="180" t="s">
        <v>276</v>
      </c>
      <c r="L7" s="199" t="s">
        <v>251</v>
      </c>
    </row>
    <row r="8" spans="2:20" x14ac:dyDescent="0.3">
      <c r="B8" s="178">
        <v>5</v>
      </c>
      <c r="C8" s="179">
        <v>5</v>
      </c>
      <c r="D8" s="180" t="s">
        <v>210</v>
      </c>
      <c r="E8" s="173" t="s">
        <v>210</v>
      </c>
      <c r="F8" s="180" t="s">
        <v>277</v>
      </c>
      <c r="G8" s="180" t="s">
        <v>278</v>
      </c>
      <c r="H8" s="180" t="s">
        <v>279</v>
      </c>
      <c r="I8" s="180" t="s">
        <v>279</v>
      </c>
      <c r="L8" s="199" t="s">
        <v>252</v>
      </c>
    </row>
    <row r="9" spans="2:20" x14ac:dyDescent="0.3">
      <c r="B9" s="178">
        <v>7.5</v>
      </c>
      <c r="C9" s="179">
        <v>6</v>
      </c>
      <c r="D9" s="180" t="s">
        <v>210</v>
      </c>
      <c r="E9" s="180" t="s">
        <v>210</v>
      </c>
      <c r="F9" s="180" t="s">
        <v>280</v>
      </c>
      <c r="G9" s="173" t="s">
        <v>281</v>
      </c>
      <c r="H9" s="180" t="s">
        <v>282</v>
      </c>
      <c r="I9" s="180" t="s">
        <v>282</v>
      </c>
      <c r="L9" s="145" t="s">
        <v>253</v>
      </c>
      <c r="M9" s="145" t="s">
        <v>253</v>
      </c>
      <c r="N9" s="145" t="s">
        <v>253</v>
      </c>
      <c r="O9" s="145" t="s">
        <v>253</v>
      </c>
    </row>
    <row r="10" spans="2:20" x14ac:dyDescent="0.3">
      <c r="B10" s="178">
        <v>10</v>
      </c>
      <c r="C10" s="189">
        <v>7</v>
      </c>
      <c r="D10" s="173" t="s">
        <v>210</v>
      </c>
      <c r="E10" s="180" t="s">
        <v>210</v>
      </c>
      <c r="F10" s="180" t="s">
        <v>283</v>
      </c>
      <c r="G10" s="173" t="s">
        <v>284</v>
      </c>
      <c r="H10" s="173" t="s">
        <v>285</v>
      </c>
      <c r="I10" s="173" t="s">
        <v>285</v>
      </c>
      <c r="L10" s="200" t="s">
        <v>254</v>
      </c>
      <c r="M10" s="200" t="s">
        <v>254</v>
      </c>
      <c r="N10" s="200" t="s">
        <v>254</v>
      </c>
      <c r="O10" s="200" t="s">
        <v>254</v>
      </c>
      <c r="P10" s="200" t="s">
        <v>254</v>
      </c>
      <c r="Q10" s="200" t="s">
        <v>254</v>
      </c>
      <c r="R10" s="200" t="s">
        <v>254</v>
      </c>
      <c r="S10" s="200" t="s">
        <v>254</v>
      </c>
      <c r="T10" s="200" t="s">
        <v>254</v>
      </c>
    </row>
    <row r="11" spans="2:20" x14ac:dyDescent="0.3">
      <c r="B11" s="178">
        <v>15</v>
      </c>
      <c r="C11" s="179">
        <v>8</v>
      </c>
      <c r="D11" s="180" t="s">
        <v>210</v>
      </c>
      <c r="E11" s="182" t="s">
        <v>210</v>
      </c>
      <c r="F11" s="182" t="s">
        <v>210</v>
      </c>
      <c r="G11" s="173" t="s">
        <v>286</v>
      </c>
      <c r="H11" s="182" t="s">
        <v>287</v>
      </c>
      <c r="I11" s="182" t="s">
        <v>287</v>
      </c>
      <c r="L11" s="145" t="s">
        <v>255</v>
      </c>
      <c r="M11" s="145" t="s">
        <v>255</v>
      </c>
      <c r="N11" s="145" t="s">
        <v>255</v>
      </c>
      <c r="O11" s="145" t="s">
        <v>255</v>
      </c>
      <c r="P11" s="145" t="s">
        <v>255</v>
      </c>
      <c r="Q11" s="145" t="s">
        <v>255</v>
      </c>
      <c r="R11" s="145" t="s">
        <v>255</v>
      </c>
      <c r="S11" s="145" t="s">
        <v>255</v>
      </c>
      <c r="T11" s="145" t="s">
        <v>255</v>
      </c>
    </row>
    <row r="12" spans="2:20" x14ac:dyDescent="0.3">
      <c r="B12" s="178">
        <v>20</v>
      </c>
      <c r="C12" s="179">
        <v>9</v>
      </c>
      <c r="D12" s="180" t="s">
        <v>210</v>
      </c>
      <c r="E12" s="173" t="s">
        <v>210</v>
      </c>
      <c r="F12" s="173" t="s">
        <v>210</v>
      </c>
      <c r="G12" s="173" t="s">
        <v>288</v>
      </c>
      <c r="H12" s="173" t="s">
        <v>289</v>
      </c>
      <c r="I12" s="173" t="s">
        <v>289</v>
      </c>
      <c r="L12" s="200" t="s">
        <v>256</v>
      </c>
      <c r="M12" s="200" t="s">
        <v>256</v>
      </c>
      <c r="N12" s="200" t="s">
        <v>256</v>
      </c>
      <c r="O12" s="200" t="s">
        <v>256</v>
      </c>
      <c r="P12" s="200" t="s">
        <v>256</v>
      </c>
      <c r="Q12" s="200" t="s">
        <v>256</v>
      </c>
      <c r="R12" s="200" t="s">
        <v>256</v>
      </c>
      <c r="S12" s="200" t="s">
        <v>256</v>
      </c>
      <c r="T12" s="200" t="s">
        <v>256</v>
      </c>
    </row>
    <row r="13" spans="2:20" x14ac:dyDescent="0.3">
      <c r="B13" s="178">
        <v>25</v>
      </c>
      <c r="C13" s="179">
        <v>10</v>
      </c>
      <c r="D13" s="173" t="s">
        <v>210</v>
      </c>
      <c r="E13" s="173" t="s">
        <v>210</v>
      </c>
      <c r="F13" s="173" t="s">
        <v>210</v>
      </c>
      <c r="G13" s="180" t="s">
        <v>290</v>
      </c>
      <c r="H13" s="173" t="s">
        <v>291</v>
      </c>
      <c r="I13" s="173" t="s">
        <v>291</v>
      </c>
    </row>
    <row r="14" spans="2:20" x14ac:dyDescent="0.3">
      <c r="B14" s="178">
        <v>30</v>
      </c>
      <c r="C14" s="179">
        <v>11</v>
      </c>
      <c r="D14" s="173" t="s">
        <v>210</v>
      </c>
      <c r="E14" s="180" t="s">
        <v>210</v>
      </c>
      <c r="F14" s="180" t="s">
        <v>210</v>
      </c>
      <c r="G14" s="180" t="s">
        <v>292</v>
      </c>
      <c r="H14" s="173" t="s">
        <v>293</v>
      </c>
      <c r="I14" s="173" t="s">
        <v>293</v>
      </c>
    </row>
    <row r="15" spans="2:20" x14ac:dyDescent="0.3">
      <c r="B15" s="183">
        <v>40</v>
      </c>
      <c r="C15" s="184">
        <v>12</v>
      </c>
      <c r="D15" s="175" t="s">
        <v>210</v>
      </c>
      <c r="E15" s="186" t="s">
        <v>210</v>
      </c>
      <c r="F15" s="186" t="s">
        <v>210</v>
      </c>
      <c r="G15" s="186" t="s">
        <v>294</v>
      </c>
      <c r="H15" s="186" t="s">
        <v>295</v>
      </c>
      <c r="I15" s="186" t="s">
        <v>295</v>
      </c>
    </row>
    <row r="17" spans="2:9" x14ac:dyDescent="0.3">
      <c r="B17" s="344" t="s">
        <v>259</v>
      </c>
      <c r="C17" s="345"/>
      <c r="D17" s="346" t="s">
        <v>248</v>
      </c>
      <c r="E17" s="347"/>
      <c r="F17" s="348"/>
      <c r="G17" s="346" t="s">
        <v>249</v>
      </c>
      <c r="H17" s="347"/>
      <c r="I17" s="348"/>
    </row>
    <row r="18" spans="2:9" x14ac:dyDescent="0.3">
      <c r="B18" s="349" t="s">
        <v>260</v>
      </c>
      <c r="C18" s="350"/>
      <c r="D18" s="169" t="s">
        <v>251</v>
      </c>
      <c r="E18" s="169" t="s">
        <v>252</v>
      </c>
      <c r="F18" s="170" t="s">
        <v>253</v>
      </c>
      <c r="G18" s="169" t="s">
        <v>254</v>
      </c>
      <c r="H18" s="169" t="s">
        <v>255</v>
      </c>
      <c r="I18" s="170" t="s">
        <v>256</v>
      </c>
    </row>
    <row r="19" spans="2:9" x14ac:dyDescent="0.3">
      <c r="B19" s="177" t="s">
        <v>257</v>
      </c>
      <c r="C19" s="171" t="s">
        <v>37</v>
      </c>
      <c r="D19" s="171">
        <v>1</v>
      </c>
      <c r="E19" s="171">
        <v>2</v>
      </c>
      <c r="F19" s="172">
        <v>3</v>
      </c>
      <c r="G19" s="171">
        <v>4</v>
      </c>
      <c r="H19" s="171">
        <v>5</v>
      </c>
      <c r="I19" s="172">
        <v>6</v>
      </c>
    </row>
    <row r="20" spans="2:9" x14ac:dyDescent="0.3">
      <c r="B20" s="178">
        <v>1</v>
      </c>
      <c r="C20" s="179">
        <v>1</v>
      </c>
      <c r="D20" s="187" t="s">
        <v>262</v>
      </c>
      <c r="E20" s="187" t="s">
        <v>262</v>
      </c>
      <c r="F20" s="187" t="s">
        <v>262</v>
      </c>
      <c r="G20" s="181" t="s">
        <v>296</v>
      </c>
      <c r="H20" s="180" t="s">
        <v>296</v>
      </c>
      <c r="I20" s="180" t="s">
        <v>296</v>
      </c>
    </row>
    <row r="21" spans="2:9" x14ac:dyDescent="0.3">
      <c r="B21" s="178">
        <v>1.5</v>
      </c>
      <c r="C21" s="179">
        <v>2</v>
      </c>
      <c r="D21" s="173" t="s">
        <v>297</v>
      </c>
      <c r="E21" s="173" t="s">
        <v>210</v>
      </c>
      <c r="F21" s="173" t="s">
        <v>297</v>
      </c>
      <c r="G21" s="181" t="s">
        <v>298</v>
      </c>
      <c r="H21" s="180" t="s">
        <v>298</v>
      </c>
      <c r="I21" s="180" t="s">
        <v>299</v>
      </c>
    </row>
    <row r="22" spans="2:9" x14ac:dyDescent="0.3">
      <c r="B22" s="178">
        <v>2</v>
      </c>
      <c r="C22" s="179">
        <v>3</v>
      </c>
      <c r="D22" s="173" t="s">
        <v>270</v>
      </c>
      <c r="E22" s="182" t="s">
        <v>270</v>
      </c>
      <c r="F22" s="173" t="s">
        <v>270</v>
      </c>
      <c r="G22" s="181" t="s">
        <v>300</v>
      </c>
      <c r="H22" s="180" t="s">
        <v>300</v>
      </c>
      <c r="I22" s="180" t="s">
        <v>300</v>
      </c>
    </row>
    <row r="23" spans="2:9" x14ac:dyDescent="0.3">
      <c r="B23" s="178">
        <v>3</v>
      </c>
      <c r="C23" s="179">
        <v>4</v>
      </c>
      <c r="D23" s="173" t="s">
        <v>301</v>
      </c>
      <c r="E23" s="173" t="s">
        <v>210</v>
      </c>
      <c r="F23" s="173" t="s">
        <v>302</v>
      </c>
      <c r="G23" s="181" t="s">
        <v>303</v>
      </c>
      <c r="H23" s="180" t="s">
        <v>304</v>
      </c>
      <c r="I23" s="180" t="s">
        <v>304</v>
      </c>
    </row>
    <row r="24" spans="2:9" x14ac:dyDescent="0.3">
      <c r="B24" s="178">
        <v>5</v>
      </c>
      <c r="C24" s="179">
        <v>5</v>
      </c>
      <c r="D24" s="180" t="s">
        <v>210</v>
      </c>
      <c r="E24" s="173" t="s">
        <v>210</v>
      </c>
      <c r="F24" s="180" t="s">
        <v>305</v>
      </c>
      <c r="G24" s="181" t="s">
        <v>306</v>
      </c>
      <c r="H24" s="180" t="s">
        <v>307</v>
      </c>
      <c r="I24" s="180" t="s">
        <v>307</v>
      </c>
    </row>
    <row r="25" spans="2:9" x14ac:dyDescent="0.3">
      <c r="B25" s="178">
        <v>7.5</v>
      </c>
      <c r="C25" s="179">
        <v>6</v>
      </c>
      <c r="D25" s="180" t="s">
        <v>210</v>
      </c>
      <c r="E25" s="180" t="s">
        <v>210</v>
      </c>
      <c r="F25" s="180" t="s">
        <v>308</v>
      </c>
      <c r="G25" s="174" t="s">
        <v>309</v>
      </c>
      <c r="H25" s="180" t="s">
        <v>310</v>
      </c>
      <c r="I25" s="180" t="s">
        <v>310</v>
      </c>
    </row>
    <row r="26" spans="2:9" x14ac:dyDescent="0.3">
      <c r="B26" s="178">
        <v>10</v>
      </c>
      <c r="C26" s="189">
        <v>7</v>
      </c>
      <c r="D26" s="173" t="s">
        <v>210</v>
      </c>
      <c r="E26" s="180" t="s">
        <v>210</v>
      </c>
      <c r="F26" s="180" t="s">
        <v>311</v>
      </c>
      <c r="G26" s="174" t="s">
        <v>312</v>
      </c>
      <c r="H26" s="173" t="s">
        <v>313</v>
      </c>
      <c r="I26" s="173" t="s">
        <v>313</v>
      </c>
    </row>
    <row r="27" spans="2:9" x14ac:dyDescent="0.3">
      <c r="B27" s="178">
        <v>15</v>
      </c>
      <c r="C27" s="179">
        <v>8</v>
      </c>
      <c r="D27" s="173" t="s">
        <v>210</v>
      </c>
      <c r="E27" s="173" t="s">
        <v>210</v>
      </c>
      <c r="F27" s="173" t="s">
        <v>210</v>
      </c>
      <c r="G27" s="174" t="s">
        <v>314</v>
      </c>
      <c r="H27" s="182" t="s">
        <v>315</v>
      </c>
      <c r="I27" s="182" t="s">
        <v>315</v>
      </c>
    </row>
    <row r="28" spans="2:9" x14ac:dyDescent="0.3">
      <c r="B28" s="178">
        <v>20</v>
      </c>
      <c r="C28" s="179">
        <v>9</v>
      </c>
      <c r="D28" s="173" t="s">
        <v>210</v>
      </c>
      <c r="E28" s="173" t="s">
        <v>210</v>
      </c>
      <c r="F28" s="173" t="s">
        <v>210</v>
      </c>
      <c r="G28" s="174" t="s">
        <v>316</v>
      </c>
      <c r="H28" s="173" t="s">
        <v>317</v>
      </c>
      <c r="I28" s="173" t="s">
        <v>317</v>
      </c>
    </row>
    <row r="29" spans="2:9" x14ac:dyDescent="0.3">
      <c r="B29" s="178">
        <v>25</v>
      </c>
      <c r="C29" s="179">
        <v>10</v>
      </c>
      <c r="D29" s="180" t="s">
        <v>210</v>
      </c>
      <c r="E29" s="180" t="s">
        <v>210</v>
      </c>
      <c r="F29" s="180" t="s">
        <v>210</v>
      </c>
      <c r="G29" s="181" t="s">
        <v>318</v>
      </c>
      <c r="H29" s="173" t="s">
        <v>319</v>
      </c>
      <c r="I29" s="173" t="s">
        <v>319</v>
      </c>
    </row>
    <row r="30" spans="2:9" x14ac:dyDescent="0.3">
      <c r="B30" s="178">
        <v>30</v>
      </c>
      <c r="C30" s="179">
        <v>11</v>
      </c>
      <c r="D30" s="180" t="s">
        <v>210</v>
      </c>
      <c r="E30" s="180" t="s">
        <v>210</v>
      </c>
      <c r="F30" s="180" t="s">
        <v>210</v>
      </c>
      <c r="G30" s="181" t="s">
        <v>320</v>
      </c>
      <c r="H30" s="173" t="s">
        <v>321</v>
      </c>
      <c r="I30" s="173" t="s">
        <v>321</v>
      </c>
    </row>
    <row r="31" spans="2:9" x14ac:dyDescent="0.3">
      <c r="B31" s="183">
        <v>40</v>
      </c>
      <c r="C31" s="184">
        <v>12</v>
      </c>
      <c r="D31" s="186" t="s">
        <v>210</v>
      </c>
      <c r="E31" s="186" t="s">
        <v>210</v>
      </c>
      <c r="F31" s="186" t="s">
        <v>210</v>
      </c>
      <c r="G31" s="185" t="s">
        <v>322</v>
      </c>
      <c r="H31" s="186" t="s">
        <v>322</v>
      </c>
      <c r="I31" s="186" t="s">
        <v>322</v>
      </c>
    </row>
    <row r="33" spans="2:9" x14ac:dyDescent="0.3">
      <c r="B33" s="344" t="s">
        <v>259</v>
      </c>
      <c r="C33" s="345"/>
      <c r="D33" s="346" t="s">
        <v>248</v>
      </c>
      <c r="E33" s="347"/>
      <c r="F33" s="348"/>
      <c r="G33" s="346" t="s">
        <v>249</v>
      </c>
      <c r="H33" s="347"/>
      <c r="I33" s="348"/>
    </row>
    <row r="34" spans="2:9" x14ac:dyDescent="0.3">
      <c r="B34" s="349" t="s">
        <v>260</v>
      </c>
      <c r="C34" s="350"/>
      <c r="D34" s="169" t="s">
        <v>251</v>
      </c>
      <c r="E34" s="169" t="s">
        <v>252</v>
      </c>
      <c r="F34" s="170" t="s">
        <v>253</v>
      </c>
      <c r="G34" s="169" t="s">
        <v>254</v>
      </c>
      <c r="H34" s="169" t="s">
        <v>255</v>
      </c>
      <c r="I34" s="170" t="s">
        <v>256</v>
      </c>
    </row>
    <row r="35" spans="2:9" x14ac:dyDescent="0.3">
      <c r="B35" s="177" t="s">
        <v>257</v>
      </c>
      <c r="C35" s="171" t="s">
        <v>36</v>
      </c>
      <c r="D35" s="171">
        <v>1</v>
      </c>
      <c r="E35" s="171">
        <v>2</v>
      </c>
      <c r="F35" s="172">
        <v>3</v>
      </c>
      <c r="G35" s="171">
        <v>4</v>
      </c>
      <c r="H35" s="171">
        <v>5</v>
      </c>
      <c r="I35" s="172">
        <v>6</v>
      </c>
    </row>
    <row r="36" spans="2:9" x14ac:dyDescent="0.3">
      <c r="B36" s="178">
        <v>1</v>
      </c>
      <c r="C36" s="179">
        <v>1</v>
      </c>
      <c r="D36" s="187">
        <v>7.8</v>
      </c>
      <c r="E36" s="187">
        <v>5</v>
      </c>
      <c r="F36" s="190">
        <v>3.9</v>
      </c>
      <c r="G36" s="187">
        <v>3.2</v>
      </c>
      <c r="H36" s="173">
        <v>3.2</v>
      </c>
      <c r="I36" s="173">
        <v>1.6</v>
      </c>
    </row>
    <row r="37" spans="2:9" x14ac:dyDescent="0.3">
      <c r="B37" s="178">
        <v>1.5</v>
      </c>
      <c r="C37" s="179">
        <v>2</v>
      </c>
      <c r="D37" s="173">
        <v>11.8</v>
      </c>
      <c r="E37" s="173">
        <v>8.5</v>
      </c>
      <c r="F37" s="191">
        <v>5.9</v>
      </c>
      <c r="G37" s="173">
        <v>4.2</v>
      </c>
      <c r="H37" s="173">
        <v>4</v>
      </c>
      <c r="I37" s="173">
        <v>2</v>
      </c>
    </row>
    <row r="38" spans="2:9" x14ac:dyDescent="0.3">
      <c r="B38" s="178">
        <v>2</v>
      </c>
      <c r="C38" s="179">
        <v>3</v>
      </c>
      <c r="D38" s="173">
        <v>15.6</v>
      </c>
      <c r="E38" s="192">
        <v>9.1</v>
      </c>
      <c r="F38" s="191">
        <v>7.8</v>
      </c>
      <c r="G38" s="173">
        <v>5.5</v>
      </c>
      <c r="H38" s="173">
        <v>5</v>
      </c>
      <c r="I38" s="173">
        <v>2.5</v>
      </c>
    </row>
    <row r="39" spans="2:9" x14ac:dyDescent="0.3">
      <c r="B39" s="178">
        <v>3</v>
      </c>
      <c r="C39" s="179">
        <v>4</v>
      </c>
      <c r="D39" s="173">
        <v>24.5</v>
      </c>
      <c r="E39" s="173">
        <v>14.7</v>
      </c>
      <c r="F39" s="191">
        <v>12.3</v>
      </c>
      <c r="G39" s="173">
        <v>8.5</v>
      </c>
      <c r="H39" s="173">
        <v>7.6</v>
      </c>
      <c r="I39" s="173">
        <v>3.8</v>
      </c>
    </row>
    <row r="40" spans="2:9" x14ac:dyDescent="0.3">
      <c r="B40" s="178">
        <v>5</v>
      </c>
      <c r="C40" s="179">
        <v>5</v>
      </c>
      <c r="D40" s="180" t="s">
        <v>210</v>
      </c>
      <c r="E40" s="173" t="s">
        <v>210</v>
      </c>
      <c r="F40" s="173">
        <v>23</v>
      </c>
      <c r="G40" s="173">
        <v>13.8</v>
      </c>
      <c r="H40" s="173">
        <v>11.8</v>
      </c>
      <c r="I40" s="173">
        <v>5.9</v>
      </c>
    </row>
    <row r="41" spans="2:9" x14ac:dyDescent="0.3">
      <c r="B41" s="178">
        <v>7.5</v>
      </c>
      <c r="C41" s="179">
        <v>6</v>
      </c>
      <c r="D41" s="180" t="s">
        <v>210</v>
      </c>
      <c r="E41" s="180" t="s">
        <v>210</v>
      </c>
      <c r="F41" s="173">
        <v>30</v>
      </c>
      <c r="G41" s="173">
        <v>20</v>
      </c>
      <c r="H41" s="173">
        <v>17.399999999999999</v>
      </c>
      <c r="I41" s="173">
        <v>8.6999999999999993</v>
      </c>
    </row>
    <row r="42" spans="2:9" x14ac:dyDescent="0.3">
      <c r="B42" s="178">
        <v>10</v>
      </c>
      <c r="C42" s="189">
        <v>7</v>
      </c>
      <c r="D42" s="173" t="s">
        <v>210</v>
      </c>
      <c r="E42" s="180" t="s">
        <v>210</v>
      </c>
      <c r="F42" s="173">
        <v>46</v>
      </c>
      <c r="G42" s="173">
        <v>27.3</v>
      </c>
      <c r="H42" s="173">
        <v>24</v>
      </c>
      <c r="I42" s="173">
        <v>12</v>
      </c>
    </row>
    <row r="43" spans="2:9" x14ac:dyDescent="0.3">
      <c r="B43" s="178">
        <v>15</v>
      </c>
      <c r="C43" s="179">
        <v>8</v>
      </c>
      <c r="D43" s="180" t="s">
        <v>210</v>
      </c>
      <c r="E43" s="182" t="s">
        <v>210</v>
      </c>
      <c r="F43" s="182" t="s">
        <v>210</v>
      </c>
      <c r="G43" s="173">
        <v>39.700000000000003</v>
      </c>
      <c r="H43" s="192">
        <v>35</v>
      </c>
      <c r="I43" s="192">
        <v>17.5</v>
      </c>
    </row>
    <row r="44" spans="2:9" x14ac:dyDescent="0.3">
      <c r="B44" s="178">
        <v>20</v>
      </c>
      <c r="C44" s="179">
        <v>9</v>
      </c>
      <c r="D44" s="180" t="s">
        <v>210</v>
      </c>
      <c r="E44" s="173" t="s">
        <v>210</v>
      </c>
      <c r="F44" s="173" t="s">
        <v>210</v>
      </c>
      <c r="G44" s="173">
        <v>53</v>
      </c>
      <c r="H44" s="173">
        <v>47</v>
      </c>
      <c r="I44" s="173">
        <v>23.5</v>
      </c>
    </row>
    <row r="45" spans="2:9" x14ac:dyDescent="0.3">
      <c r="B45" s="178">
        <v>25</v>
      </c>
      <c r="C45" s="179">
        <v>10</v>
      </c>
      <c r="D45" s="173" t="s">
        <v>210</v>
      </c>
      <c r="E45" s="173" t="s">
        <v>210</v>
      </c>
      <c r="F45" s="173" t="s">
        <v>210</v>
      </c>
      <c r="G45" s="173">
        <v>65</v>
      </c>
      <c r="H45" s="173">
        <v>56</v>
      </c>
      <c r="I45" s="173">
        <v>28</v>
      </c>
    </row>
    <row r="46" spans="2:9" x14ac:dyDescent="0.3">
      <c r="B46" s="178">
        <v>30</v>
      </c>
      <c r="C46" s="179">
        <v>11</v>
      </c>
      <c r="D46" s="173" t="s">
        <v>210</v>
      </c>
      <c r="E46" s="180" t="s">
        <v>210</v>
      </c>
      <c r="F46" s="180" t="s">
        <v>210</v>
      </c>
      <c r="G46" s="173">
        <v>80</v>
      </c>
      <c r="H46" s="173">
        <v>70</v>
      </c>
      <c r="I46" s="173">
        <v>35</v>
      </c>
    </row>
    <row r="47" spans="2:9" x14ac:dyDescent="0.3">
      <c r="B47" s="183">
        <v>40</v>
      </c>
      <c r="C47" s="184">
        <v>12</v>
      </c>
      <c r="D47" s="175" t="s">
        <v>210</v>
      </c>
      <c r="E47" s="186" t="s">
        <v>210</v>
      </c>
      <c r="F47" s="186" t="s">
        <v>210</v>
      </c>
      <c r="G47" s="175">
        <v>105</v>
      </c>
      <c r="H47" s="175">
        <v>92</v>
      </c>
      <c r="I47" s="175">
        <v>46</v>
      </c>
    </row>
    <row r="49" spans="2:9" x14ac:dyDescent="0.3">
      <c r="B49" s="344" t="s">
        <v>259</v>
      </c>
      <c r="C49" s="345"/>
      <c r="D49" s="346" t="s">
        <v>248</v>
      </c>
      <c r="E49" s="347"/>
      <c r="F49" s="348"/>
      <c r="G49" s="346" t="s">
        <v>249</v>
      </c>
      <c r="H49" s="347"/>
      <c r="I49" s="348"/>
    </row>
    <row r="50" spans="2:9" x14ac:dyDescent="0.3">
      <c r="B50" s="349" t="s">
        <v>260</v>
      </c>
      <c r="C50" s="350"/>
      <c r="D50" s="169" t="s">
        <v>251</v>
      </c>
      <c r="E50" s="169" t="s">
        <v>252</v>
      </c>
      <c r="F50" s="170" t="s">
        <v>253</v>
      </c>
      <c r="G50" s="169" t="s">
        <v>254</v>
      </c>
      <c r="H50" s="169" t="s">
        <v>255</v>
      </c>
      <c r="I50" s="170" t="s">
        <v>256</v>
      </c>
    </row>
    <row r="51" spans="2:9" x14ac:dyDescent="0.3">
      <c r="B51" s="177" t="s">
        <v>257</v>
      </c>
      <c r="C51" s="171" t="s">
        <v>37</v>
      </c>
      <c r="D51" s="171">
        <v>1</v>
      </c>
      <c r="E51" s="171">
        <v>2</v>
      </c>
      <c r="F51" s="172">
        <v>3</v>
      </c>
      <c r="G51" s="171">
        <v>4</v>
      </c>
      <c r="H51" s="171">
        <v>5</v>
      </c>
      <c r="I51" s="172">
        <v>6</v>
      </c>
    </row>
    <row r="52" spans="2:9" x14ac:dyDescent="0.3">
      <c r="B52" s="178">
        <v>1</v>
      </c>
      <c r="C52" s="179">
        <v>1</v>
      </c>
      <c r="D52" s="187">
        <v>9.4</v>
      </c>
      <c r="E52" s="187">
        <v>5</v>
      </c>
      <c r="F52" s="187">
        <v>4.7</v>
      </c>
      <c r="G52" s="174">
        <v>3</v>
      </c>
      <c r="H52" s="173">
        <v>2.8</v>
      </c>
      <c r="I52" s="173">
        <v>1.4</v>
      </c>
    </row>
    <row r="53" spans="2:9" x14ac:dyDescent="0.3">
      <c r="B53" s="178">
        <v>1.5</v>
      </c>
      <c r="C53" s="179">
        <v>2</v>
      </c>
      <c r="D53" s="173">
        <v>16</v>
      </c>
      <c r="E53" s="173" t="s">
        <v>210</v>
      </c>
      <c r="F53" s="173">
        <v>8</v>
      </c>
      <c r="G53" s="174">
        <v>4</v>
      </c>
      <c r="H53" s="173">
        <v>3.8</v>
      </c>
      <c r="I53" s="173">
        <v>1.9</v>
      </c>
    </row>
    <row r="54" spans="2:9" x14ac:dyDescent="0.3">
      <c r="B54" s="178">
        <v>2</v>
      </c>
      <c r="C54" s="179">
        <v>3</v>
      </c>
      <c r="D54" s="173">
        <v>16.8</v>
      </c>
      <c r="E54" s="192">
        <v>9.1</v>
      </c>
      <c r="F54" s="173">
        <v>8.3000000000000007</v>
      </c>
      <c r="G54" s="174">
        <v>5.3</v>
      </c>
      <c r="H54" s="173">
        <v>5</v>
      </c>
      <c r="I54" s="173">
        <v>2.5</v>
      </c>
    </row>
    <row r="55" spans="2:9" x14ac:dyDescent="0.3">
      <c r="B55" s="178">
        <v>3</v>
      </c>
      <c r="C55" s="179">
        <v>4</v>
      </c>
      <c r="D55" s="173">
        <v>24.8</v>
      </c>
      <c r="E55" s="173" t="s">
        <v>210</v>
      </c>
      <c r="F55" s="173">
        <v>12.4</v>
      </c>
      <c r="G55" s="174">
        <v>8.8000000000000007</v>
      </c>
      <c r="H55" s="173">
        <v>7.2</v>
      </c>
      <c r="I55" s="173">
        <v>3.6</v>
      </c>
    </row>
    <row r="56" spans="2:9" x14ac:dyDescent="0.3">
      <c r="B56" s="178">
        <v>5</v>
      </c>
      <c r="C56" s="179">
        <v>5</v>
      </c>
      <c r="D56" s="180" t="s">
        <v>210</v>
      </c>
      <c r="E56" s="173" t="s">
        <v>210</v>
      </c>
      <c r="F56" s="173">
        <v>19.399999999999999</v>
      </c>
      <c r="G56" s="174">
        <v>13.3</v>
      </c>
      <c r="H56" s="173">
        <v>11.6</v>
      </c>
      <c r="I56" s="173">
        <v>5.8</v>
      </c>
    </row>
    <row r="57" spans="2:9" x14ac:dyDescent="0.3">
      <c r="B57" s="178">
        <v>7.5</v>
      </c>
      <c r="C57" s="179">
        <v>6</v>
      </c>
      <c r="D57" s="180" t="s">
        <v>210</v>
      </c>
      <c r="E57" s="180" t="s">
        <v>210</v>
      </c>
      <c r="F57" s="173">
        <v>33</v>
      </c>
      <c r="G57" s="174">
        <v>21</v>
      </c>
      <c r="H57" s="173">
        <v>16.8</v>
      </c>
      <c r="I57" s="173">
        <v>8.4</v>
      </c>
    </row>
    <row r="58" spans="2:9" x14ac:dyDescent="0.3">
      <c r="B58" s="178">
        <v>10</v>
      </c>
      <c r="C58" s="189">
        <v>7</v>
      </c>
      <c r="D58" s="173" t="s">
        <v>210</v>
      </c>
      <c r="E58" s="180" t="s">
        <v>210</v>
      </c>
      <c r="F58" s="173">
        <v>40</v>
      </c>
      <c r="G58" s="174">
        <v>26.8</v>
      </c>
      <c r="H58" s="173">
        <v>23.2</v>
      </c>
      <c r="I58" s="173">
        <v>11.6</v>
      </c>
    </row>
    <row r="59" spans="2:9" x14ac:dyDescent="0.3">
      <c r="B59" s="178">
        <v>15</v>
      </c>
      <c r="C59" s="179">
        <v>8</v>
      </c>
      <c r="D59" s="173" t="s">
        <v>210</v>
      </c>
      <c r="E59" s="173" t="s">
        <v>210</v>
      </c>
      <c r="F59" s="173" t="s">
        <v>210</v>
      </c>
      <c r="G59" s="174">
        <v>40</v>
      </c>
      <c r="H59" s="192">
        <v>34</v>
      </c>
      <c r="I59" s="192">
        <v>17</v>
      </c>
    </row>
    <row r="60" spans="2:9" x14ac:dyDescent="0.3">
      <c r="B60" s="178">
        <v>20</v>
      </c>
      <c r="C60" s="179">
        <v>9</v>
      </c>
      <c r="D60" s="173" t="s">
        <v>210</v>
      </c>
      <c r="E60" s="173" t="s">
        <v>210</v>
      </c>
      <c r="F60" s="173" t="s">
        <v>210</v>
      </c>
      <c r="G60" s="174">
        <v>52</v>
      </c>
      <c r="H60" s="173">
        <v>46</v>
      </c>
      <c r="I60" s="173">
        <v>23</v>
      </c>
    </row>
    <row r="61" spans="2:9" x14ac:dyDescent="0.3">
      <c r="B61" s="178">
        <v>25</v>
      </c>
      <c r="C61" s="179">
        <v>10</v>
      </c>
      <c r="D61" s="180" t="s">
        <v>210</v>
      </c>
      <c r="E61" s="180" t="s">
        <v>210</v>
      </c>
      <c r="F61" s="180" t="s">
        <v>210</v>
      </c>
      <c r="G61" s="174">
        <v>66</v>
      </c>
      <c r="H61" s="173">
        <v>58</v>
      </c>
      <c r="I61" s="173">
        <v>29</v>
      </c>
    </row>
    <row r="62" spans="2:9" x14ac:dyDescent="0.3">
      <c r="B62" s="178">
        <v>30</v>
      </c>
      <c r="C62" s="179">
        <v>11</v>
      </c>
      <c r="D62" s="180" t="s">
        <v>210</v>
      </c>
      <c r="E62" s="180" t="s">
        <v>210</v>
      </c>
      <c r="F62" s="180" t="s">
        <v>210</v>
      </c>
      <c r="G62" s="174">
        <v>76</v>
      </c>
      <c r="H62" s="173">
        <v>68</v>
      </c>
      <c r="I62" s="173">
        <v>34</v>
      </c>
    </row>
    <row r="63" spans="2:9" x14ac:dyDescent="0.3">
      <c r="B63" s="183">
        <v>40</v>
      </c>
      <c r="C63" s="184">
        <v>12</v>
      </c>
      <c r="D63" s="186" t="s">
        <v>210</v>
      </c>
      <c r="E63" s="186" t="s">
        <v>210</v>
      </c>
      <c r="F63" s="186" t="s">
        <v>210</v>
      </c>
      <c r="G63" s="176">
        <v>100</v>
      </c>
      <c r="H63" s="175">
        <v>90</v>
      </c>
      <c r="I63" s="175">
        <v>45</v>
      </c>
    </row>
    <row r="65" spans="2:9" x14ac:dyDescent="0.3">
      <c r="B65" s="344" t="s">
        <v>250</v>
      </c>
      <c r="C65" s="345"/>
      <c r="D65" s="346" t="s">
        <v>248</v>
      </c>
      <c r="E65" s="347"/>
      <c r="F65" s="348"/>
      <c r="G65" s="346" t="s">
        <v>249</v>
      </c>
      <c r="H65" s="347"/>
      <c r="I65" s="348"/>
    </row>
    <row r="66" spans="2:9" x14ac:dyDescent="0.3">
      <c r="B66" s="349" t="s">
        <v>258</v>
      </c>
      <c r="C66" s="350"/>
      <c r="D66" s="169" t="s">
        <v>251</v>
      </c>
      <c r="E66" s="169" t="s">
        <v>252</v>
      </c>
      <c r="F66" s="170" t="s">
        <v>253</v>
      </c>
      <c r="G66" s="169" t="s">
        <v>254</v>
      </c>
      <c r="H66" s="169" t="s">
        <v>255</v>
      </c>
      <c r="I66" s="170" t="s">
        <v>256</v>
      </c>
    </row>
    <row r="67" spans="2:9" x14ac:dyDescent="0.3">
      <c r="B67" s="177" t="s">
        <v>257</v>
      </c>
      <c r="C67" s="171" t="s">
        <v>36</v>
      </c>
      <c r="D67" s="171">
        <v>1</v>
      </c>
      <c r="E67" s="171">
        <v>2</v>
      </c>
      <c r="F67" s="172">
        <v>3</v>
      </c>
      <c r="G67" s="171">
        <v>4</v>
      </c>
      <c r="H67" s="171">
        <v>5</v>
      </c>
      <c r="I67" s="172">
        <v>6</v>
      </c>
    </row>
    <row r="68" spans="2:9" x14ac:dyDescent="0.3">
      <c r="B68" s="178">
        <v>1</v>
      </c>
      <c r="C68" s="179">
        <v>1</v>
      </c>
      <c r="D68" s="173" t="s">
        <v>323</v>
      </c>
      <c r="E68" s="173" t="s">
        <v>324</v>
      </c>
      <c r="F68" s="174" t="s">
        <v>324</v>
      </c>
      <c r="G68" s="173" t="s">
        <v>325</v>
      </c>
      <c r="H68" s="173" t="s">
        <v>325</v>
      </c>
      <c r="I68" s="180" t="s">
        <v>326</v>
      </c>
    </row>
    <row r="69" spans="2:9" x14ac:dyDescent="0.3">
      <c r="B69" s="178">
        <v>1.5</v>
      </c>
      <c r="C69" s="179">
        <v>2</v>
      </c>
      <c r="D69" s="173" t="s">
        <v>327</v>
      </c>
      <c r="E69" s="173" t="s">
        <v>328</v>
      </c>
      <c r="F69" s="173" t="s">
        <v>328</v>
      </c>
      <c r="G69" s="180" t="s">
        <v>324</v>
      </c>
      <c r="H69" s="180" t="s">
        <v>324</v>
      </c>
      <c r="I69" s="180" t="s">
        <v>326</v>
      </c>
    </row>
    <row r="70" spans="2:9" x14ac:dyDescent="0.3">
      <c r="B70" s="178">
        <v>2</v>
      </c>
      <c r="C70" s="179">
        <v>3</v>
      </c>
      <c r="D70" s="173" t="s">
        <v>329</v>
      </c>
      <c r="E70" s="182" t="s">
        <v>330</v>
      </c>
      <c r="F70" s="173" t="s">
        <v>328</v>
      </c>
      <c r="G70" s="180" t="s">
        <v>328</v>
      </c>
      <c r="H70" s="180" t="s">
        <v>324</v>
      </c>
      <c r="I70" s="173" t="s">
        <v>325</v>
      </c>
    </row>
    <row r="71" spans="2:9" x14ac:dyDescent="0.3">
      <c r="B71" s="178">
        <v>3</v>
      </c>
      <c r="C71" s="179">
        <v>4</v>
      </c>
      <c r="D71" s="173" t="s">
        <v>331</v>
      </c>
      <c r="E71" s="173" t="s">
        <v>327</v>
      </c>
      <c r="F71" s="182" t="s">
        <v>327</v>
      </c>
      <c r="G71" s="173" t="s">
        <v>328</v>
      </c>
      <c r="H71" s="173" t="s">
        <v>328</v>
      </c>
      <c r="I71" s="173" t="s">
        <v>324</v>
      </c>
    </row>
    <row r="72" spans="2:9" x14ac:dyDescent="0.3">
      <c r="B72" s="178">
        <v>5</v>
      </c>
      <c r="C72" s="179">
        <v>5</v>
      </c>
      <c r="D72" s="180" t="s">
        <v>210</v>
      </c>
      <c r="E72" s="173" t="s">
        <v>210</v>
      </c>
      <c r="F72" s="173" t="s">
        <v>329</v>
      </c>
      <c r="G72" s="182" t="s">
        <v>327</v>
      </c>
      <c r="H72" s="182" t="s">
        <v>330</v>
      </c>
      <c r="I72" s="180" t="s">
        <v>328</v>
      </c>
    </row>
    <row r="73" spans="2:9" x14ac:dyDescent="0.3">
      <c r="B73" s="178">
        <v>7.5</v>
      </c>
      <c r="C73" s="179">
        <v>6</v>
      </c>
      <c r="D73" s="180" t="s">
        <v>210</v>
      </c>
      <c r="E73" s="180" t="s">
        <v>210</v>
      </c>
      <c r="F73" s="173" t="s">
        <v>332</v>
      </c>
      <c r="G73" s="173" t="s">
        <v>329</v>
      </c>
      <c r="H73" s="173" t="s">
        <v>329</v>
      </c>
      <c r="I73" s="173" t="s">
        <v>328</v>
      </c>
    </row>
    <row r="74" spans="2:9" x14ac:dyDescent="0.3">
      <c r="B74" s="178">
        <v>10</v>
      </c>
      <c r="C74" s="179">
        <v>7</v>
      </c>
      <c r="D74" s="173" t="s">
        <v>210</v>
      </c>
      <c r="E74" s="180" t="s">
        <v>210</v>
      </c>
      <c r="F74" s="180" t="s">
        <v>333</v>
      </c>
      <c r="G74" s="173" t="s">
        <v>331</v>
      </c>
      <c r="H74" s="173" t="s">
        <v>331</v>
      </c>
      <c r="I74" s="182" t="s">
        <v>334</v>
      </c>
    </row>
    <row r="75" spans="2:9" x14ac:dyDescent="0.3">
      <c r="B75" s="178">
        <v>15</v>
      </c>
      <c r="C75" s="179">
        <v>8</v>
      </c>
      <c r="D75" s="173" t="s">
        <v>210</v>
      </c>
      <c r="E75" s="173" t="s">
        <v>210</v>
      </c>
      <c r="F75" s="181" t="s">
        <v>210</v>
      </c>
      <c r="G75" s="180" t="s">
        <v>333</v>
      </c>
      <c r="H75" s="180" t="s">
        <v>332</v>
      </c>
      <c r="I75" s="173" t="s">
        <v>329</v>
      </c>
    </row>
    <row r="76" spans="2:9" x14ac:dyDescent="0.3">
      <c r="B76" s="178">
        <v>20</v>
      </c>
      <c r="C76" s="179">
        <v>9</v>
      </c>
      <c r="D76" s="173" t="s">
        <v>210</v>
      </c>
      <c r="E76" s="173" t="s">
        <v>210</v>
      </c>
      <c r="F76" s="174" t="s">
        <v>210</v>
      </c>
      <c r="G76" s="180" t="s">
        <v>333</v>
      </c>
      <c r="H76" s="180" t="s">
        <v>333</v>
      </c>
      <c r="I76" s="173" t="s">
        <v>331</v>
      </c>
    </row>
    <row r="77" spans="2:9" x14ac:dyDescent="0.3">
      <c r="B77" s="178">
        <v>25</v>
      </c>
      <c r="C77" s="179">
        <v>10</v>
      </c>
      <c r="D77" s="173" t="s">
        <v>210</v>
      </c>
      <c r="E77" s="173" t="s">
        <v>210</v>
      </c>
      <c r="F77" s="174" t="s">
        <v>210</v>
      </c>
      <c r="G77" s="180" t="s">
        <v>335</v>
      </c>
      <c r="H77" s="180" t="s">
        <v>336</v>
      </c>
      <c r="I77" s="173" t="s">
        <v>332</v>
      </c>
    </row>
    <row r="78" spans="2:9" x14ac:dyDescent="0.3">
      <c r="B78" s="178">
        <v>30</v>
      </c>
      <c r="C78" s="179">
        <v>11</v>
      </c>
      <c r="D78" s="173" t="s">
        <v>210</v>
      </c>
      <c r="E78" s="173" t="s">
        <v>210</v>
      </c>
      <c r="F78" s="174" t="s">
        <v>210</v>
      </c>
      <c r="G78" s="173" t="s">
        <v>337</v>
      </c>
      <c r="H78" s="180" t="s">
        <v>337</v>
      </c>
      <c r="I78" s="180" t="s">
        <v>332</v>
      </c>
    </row>
    <row r="79" spans="2:9" x14ac:dyDescent="0.3">
      <c r="B79" s="183">
        <v>40</v>
      </c>
      <c r="C79" s="184">
        <v>12</v>
      </c>
      <c r="D79" s="175" t="s">
        <v>210</v>
      </c>
      <c r="E79" s="175" t="s">
        <v>210</v>
      </c>
      <c r="F79" s="176" t="s">
        <v>210</v>
      </c>
      <c r="G79" s="175" t="s">
        <v>337</v>
      </c>
      <c r="H79" s="175" t="s">
        <v>337</v>
      </c>
      <c r="I79" s="186" t="s">
        <v>333</v>
      </c>
    </row>
    <row r="81" spans="2:9" x14ac:dyDescent="0.3">
      <c r="B81" s="344" t="s">
        <v>250</v>
      </c>
      <c r="C81" s="345"/>
      <c r="D81" s="346" t="s">
        <v>248</v>
      </c>
      <c r="E81" s="347"/>
      <c r="F81" s="348"/>
      <c r="G81" s="346" t="s">
        <v>249</v>
      </c>
      <c r="H81" s="347"/>
      <c r="I81" s="348"/>
    </row>
    <row r="82" spans="2:9" x14ac:dyDescent="0.3">
      <c r="B82" s="349" t="s">
        <v>258</v>
      </c>
      <c r="C82" s="350"/>
      <c r="D82" s="169" t="s">
        <v>251</v>
      </c>
      <c r="E82" s="169" t="s">
        <v>252</v>
      </c>
      <c r="F82" s="170" t="s">
        <v>253</v>
      </c>
      <c r="G82" s="169" t="s">
        <v>254</v>
      </c>
      <c r="H82" s="169" t="s">
        <v>255</v>
      </c>
      <c r="I82" s="170" t="s">
        <v>256</v>
      </c>
    </row>
    <row r="83" spans="2:9" x14ac:dyDescent="0.3">
      <c r="B83" s="177" t="s">
        <v>257</v>
      </c>
      <c r="C83" s="171" t="s">
        <v>37</v>
      </c>
      <c r="D83" s="171">
        <v>1</v>
      </c>
      <c r="E83" s="171">
        <v>2</v>
      </c>
      <c r="F83" s="172">
        <v>3</v>
      </c>
      <c r="G83" s="171">
        <v>4</v>
      </c>
      <c r="H83" s="171">
        <v>5</v>
      </c>
      <c r="I83" s="172">
        <v>6</v>
      </c>
    </row>
    <row r="84" spans="2:9" x14ac:dyDescent="0.3">
      <c r="B84" s="178">
        <v>1</v>
      </c>
      <c r="C84" s="179">
        <v>1</v>
      </c>
      <c r="D84" s="173" t="s">
        <v>327</v>
      </c>
      <c r="E84" s="173" t="s">
        <v>324</v>
      </c>
      <c r="F84" s="174" t="s">
        <v>324</v>
      </c>
      <c r="G84" s="173" t="s">
        <v>325</v>
      </c>
      <c r="H84" s="173" t="s">
        <v>325</v>
      </c>
      <c r="I84" s="180" t="s">
        <v>326</v>
      </c>
    </row>
    <row r="85" spans="2:9" x14ac:dyDescent="0.3">
      <c r="B85" s="178">
        <v>1.5</v>
      </c>
      <c r="C85" s="179">
        <v>2</v>
      </c>
      <c r="D85" s="173" t="s">
        <v>329</v>
      </c>
      <c r="E85" s="173" t="s">
        <v>210</v>
      </c>
      <c r="F85" s="173" t="s">
        <v>328</v>
      </c>
      <c r="G85" s="180" t="s">
        <v>324</v>
      </c>
      <c r="H85" s="180" t="s">
        <v>324</v>
      </c>
      <c r="I85" s="180" t="s">
        <v>326</v>
      </c>
    </row>
    <row r="86" spans="2:9" x14ac:dyDescent="0.3">
      <c r="B86" s="178">
        <v>2</v>
      </c>
      <c r="C86" s="179">
        <v>3</v>
      </c>
      <c r="D86" s="173" t="s">
        <v>329</v>
      </c>
      <c r="E86" s="182" t="s">
        <v>330</v>
      </c>
      <c r="F86" s="173" t="s">
        <v>328</v>
      </c>
      <c r="G86" s="180" t="s">
        <v>328</v>
      </c>
      <c r="H86" s="180" t="s">
        <v>324</v>
      </c>
      <c r="I86" s="173" t="s">
        <v>325</v>
      </c>
    </row>
    <row r="87" spans="2:9" x14ac:dyDescent="0.3">
      <c r="B87" s="178">
        <v>3</v>
      </c>
      <c r="C87" s="179">
        <v>4</v>
      </c>
      <c r="D87" s="173" t="s">
        <v>331</v>
      </c>
      <c r="E87" s="173" t="s">
        <v>210</v>
      </c>
      <c r="F87" s="182" t="s">
        <v>327</v>
      </c>
      <c r="G87" s="173" t="s">
        <v>328</v>
      </c>
      <c r="H87" s="173" t="s">
        <v>328</v>
      </c>
      <c r="I87" s="173" t="s">
        <v>324</v>
      </c>
    </row>
    <row r="88" spans="2:9" x14ac:dyDescent="0.3">
      <c r="B88" s="178">
        <v>5</v>
      </c>
      <c r="C88" s="179">
        <v>5</v>
      </c>
      <c r="D88" s="180" t="s">
        <v>210</v>
      </c>
      <c r="E88" s="173" t="s">
        <v>210</v>
      </c>
      <c r="F88" s="173" t="s">
        <v>329</v>
      </c>
      <c r="G88" s="182" t="s">
        <v>327</v>
      </c>
      <c r="H88" s="182" t="s">
        <v>330</v>
      </c>
      <c r="I88" s="180" t="s">
        <v>328</v>
      </c>
    </row>
    <row r="89" spans="2:9" x14ac:dyDescent="0.3">
      <c r="B89" s="178">
        <v>7.5</v>
      </c>
      <c r="C89" s="179">
        <v>6</v>
      </c>
      <c r="D89" s="180" t="s">
        <v>210</v>
      </c>
      <c r="E89" s="180" t="s">
        <v>210</v>
      </c>
      <c r="F89" s="173" t="s">
        <v>332</v>
      </c>
      <c r="G89" s="173" t="s">
        <v>329</v>
      </c>
      <c r="H89" s="173" t="s">
        <v>329</v>
      </c>
      <c r="I89" s="173" t="s">
        <v>328</v>
      </c>
    </row>
    <row r="90" spans="2:9" x14ac:dyDescent="0.3">
      <c r="B90" s="178">
        <v>10</v>
      </c>
      <c r="C90" s="179">
        <v>7</v>
      </c>
      <c r="D90" s="173" t="s">
        <v>210</v>
      </c>
      <c r="E90" s="180" t="s">
        <v>210</v>
      </c>
      <c r="F90" s="180" t="s">
        <v>333</v>
      </c>
      <c r="G90" s="173" t="s">
        <v>331</v>
      </c>
      <c r="H90" s="173" t="s">
        <v>331</v>
      </c>
      <c r="I90" s="182" t="s">
        <v>334</v>
      </c>
    </row>
    <row r="91" spans="2:9" x14ac:dyDescent="0.3">
      <c r="B91" s="178">
        <v>15</v>
      </c>
      <c r="C91" s="179">
        <v>8</v>
      </c>
      <c r="D91" s="173" t="s">
        <v>210</v>
      </c>
      <c r="E91" s="173" t="s">
        <v>210</v>
      </c>
      <c r="F91" s="181" t="s">
        <v>210</v>
      </c>
      <c r="G91" s="180" t="s">
        <v>333</v>
      </c>
      <c r="H91" s="180" t="s">
        <v>332</v>
      </c>
      <c r="I91" s="173" t="s">
        <v>329</v>
      </c>
    </row>
    <row r="92" spans="2:9" x14ac:dyDescent="0.3">
      <c r="B92" s="178">
        <v>20</v>
      </c>
      <c r="C92" s="179">
        <v>9</v>
      </c>
      <c r="D92" s="173" t="s">
        <v>210</v>
      </c>
      <c r="E92" s="173" t="s">
        <v>210</v>
      </c>
      <c r="F92" s="174" t="s">
        <v>210</v>
      </c>
      <c r="G92" s="180" t="s">
        <v>333</v>
      </c>
      <c r="H92" s="180" t="s">
        <v>333</v>
      </c>
      <c r="I92" s="173" t="s">
        <v>331</v>
      </c>
    </row>
    <row r="93" spans="2:9" x14ac:dyDescent="0.3">
      <c r="B93" s="178">
        <v>25</v>
      </c>
      <c r="C93" s="179">
        <v>10</v>
      </c>
      <c r="D93" s="173" t="s">
        <v>210</v>
      </c>
      <c r="E93" s="173" t="s">
        <v>210</v>
      </c>
      <c r="F93" s="174" t="s">
        <v>210</v>
      </c>
      <c r="G93" s="180" t="s">
        <v>335</v>
      </c>
      <c r="H93" s="180" t="s">
        <v>336</v>
      </c>
      <c r="I93" s="173" t="s">
        <v>332</v>
      </c>
    </row>
    <row r="94" spans="2:9" x14ac:dyDescent="0.3">
      <c r="B94" s="178">
        <v>30</v>
      </c>
      <c r="C94" s="179">
        <v>11</v>
      </c>
      <c r="D94" s="173" t="s">
        <v>210</v>
      </c>
      <c r="E94" s="173" t="s">
        <v>210</v>
      </c>
      <c r="F94" s="174" t="s">
        <v>210</v>
      </c>
      <c r="G94" s="173" t="s">
        <v>337</v>
      </c>
      <c r="H94" s="180" t="s">
        <v>337</v>
      </c>
      <c r="I94" s="180" t="s">
        <v>332</v>
      </c>
    </row>
    <row r="95" spans="2:9" x14ac:dyDescent="0.3">
      <c r="B95" s="183">
        <v>40</v>
      </c>
      <c r="C95" s="184">
        <v>12</v>
      </c>
      <c r="D95" s="175" t="s">
        <v>210</v>
      </c>
      <c r="E95" s="175" t="s">
        <v>210</v>
      </c>
      <c r="F95" s="176" t="s">
        <v>210</v>
      </c>
      <c r="G95" s="175" t="s">
        <v>337</v>
      </c>
      <c r="H95" s="175" t="s">
        <v>337</v>
      </c>
      <c r="I95" s="186" t="s">
        <v>333</v>
      </c>
    </row>
  </sheetData>
  <mergeCells count="24">
    <mergeCell ref="B82:C82"/>
    <mergeCell ref="D49:F49"/>
    <mergeCell ref="G49:I49"/>
    <mergeCell ref="B50:C50"/>
    <mergeCell ref="B66:C66"/>
    <mergeCell ref="B81:C81"/>
    <mergeCell ref="D81:F81"/>
    <mergeCell ref="G81:I81"/>
    <mergeCell ref="B1:C1"/>
    <mergeCell ref="D1:F1"/>
    <mergeCell ref="G1:I1"/>
    <mergeCell ref="B65:C65"/>
    <mergeCell ref="D65:F65"/>
    <mergeCell ref="G65:I65"/>
    <mergeCell ref="B2:C2"/>
    <mergeCell ref="B17:C17"/>
    <mergeCell ref="D17:F17"/>
    <mergeCell ref="G17:I17"/>
    <mergeCell ref="B18:C18"/>
    <mergeCell ref="B33:C33"/>
    <mergeCell ref="D33:F33"/>
    <mergeCell ref="G33:I33"/>
    <mergeCell ref="B34:C34"/>
    <mergeCell ref="B49:C4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DCF426-5F20-4FFC-897D-C18A747E5916}">
  <sheetPr codeName="Sheet7"/>
  <dimension ref="A1:S98"/>
  <sheetViews>
    <sheetView workbookViewId="0">
      <pane ySplit="1" topLeftCell="A2" activePane="bottomLeft" state="frozen"/>
      <selection pane="bottomLeft" activeCell="P25" sqref="P25"/>
    </sheetView>
  </sheetViews>
  <sheetFormatPr defaultRowHeight="14.4" x14ac:dyDescent="0.3"/>
  <cols>
    <col min="3" max="3" width="11.5546875" bestFit="1" customWidth="1"/>
  </cols>
  <sheetData>
    <row r="1" spans="1:19" x14ac:dyDescent="0.3">
      <c r="A1" s="122" t="s">
        <v>3</v>
      </c>
      <c r="B1" s="122" t="s">
        <v>196</v>
      </c>
    </row>
    <row r="2" spans="1:19" x14ac:dyDescent="0.3">
      <c r="A2" s="124">
        <v>40</v>
      </c>
      <c r="B2" s="125">
        <v>15</v>
      </c>
      <c r="C2" s="141">
        <v>5545.5</v>
      </c>
    </row>
    <row r="3" spans="1:19" x14ac:dyDescent="0.3">
      <c r="A3" s="124">
        <v>50</v>
      </c>
      <c r="B3" s="125">
        <v>15</v>
      </c>
      <c r="C3" s="141">
        <v>5545.5</v>
      </c>
      <c r="P3" s="38"/>
      <c r="Q3" s="38"/>
      <c r="R3" s="38"/>
      <c r="S3" s="38"/>
    </row>
    <row r="4" spans="1:19" x14ac:dyDescent="0.3">
      <c r="A4" s="124">
        <v>60</v>
      </c>
      <c r="B4" s="125">
        <v>15</v>
      </c>
      <c r="C4" s="141">
        <v>5545.5</v>
      </c>
      <c r="P4" s="38" t="s">
        <v>408</v>
      </c>
      <c r="Q4" s="38"/>
      <c r="R4" s="38"/>
      <c r="S4" s="38"/>
    </row>
    <row r="5" spans="1:19" x14ac:dyDescent="0.3">
      <c r="A5" s="124">
        <v>70</v>
      </c>
      <c r="B5" s="125">
        <v>15</v>
      </c>
      <c r="C5" s="141">
        <v>5545.5</v>
      </c>
    </row>
    <row r="6" spans="1:19" x14ac:dyDescent="0.3">
      <c r="A6" s="124">
        <v>80</v>
      </c>
      <c r="B6" s="125">
        <v>15</v>
      </c>
      <c r="C6" s="141">
        <v>6513</v>
      </c>
    </row>
    <row r="7" spans="1:19" x14ac:dyDescent="0.3">
      <c r="A7" s="124">
        <v>100</v>
      </c>
      <c r="B7" s="125">
        <v>15</v>
      </c>
      <c r="C7" s="141">
        <v>6513</v>
      </c>
    </row>
    <row r="8" spans="1:19" x14ac:dyDescent="0.3">
      <c r="A8" s="124">
        <v>125</v>
      </c>
      <c r="B8" s="125">
        <v>15</v>
      </c>
      <c r="C8" s="141">
        <v>6513</v>
      </c>
    </row>
    <row r="9" spans="1:19" x14ac:dyDescent="0.3">
      <c r="A9" s="124">
        <v>150</v>
      </c>
      <c r="B9" s="125">
        <v>15</v>
      </c>
      <c r="C9" s="141">
        <v>6513</v>
      </c>
    </row>
    <row r="10" spans="1:19" x14ac:dyDescent="0.3">
      <c r="A10" s="124">
        <v>175</v>
      </c>
      <c r="B10" s="125">
        <v>15</v>
      </c>
      <c r="C10" s="141">
        <v>6513</v>
      </c>
    </row>
    <row r="11" spans="1:19" x14ac:dyDescent="0.3">
      <c r="A11" s="124">
        <v>200</v>
      </c>
      <c r="B11" s="125">
        <v>15</v>
      </c>
      <c r="C11" s="141">
        <v>8019</v>
      </c>
    </row>
    <row r="12" spans="1:19" x14ac:dyDescent="0.3">
      <c r="A12" s="124">
        <v>238</v>
      </c>
      <c r="B12" s="125">
        <v>15</v>
      </c>
      <c r="C12" s="141">
        <v>8019</v>
      </c>
    </row>
    <row r="13" spans="1:19" x14ac:dyDescent="0.3">
      <c r="A13" s="124">
        <v>250</v>
      </c>
      <c r="B13" s="125">
        <v>15</v>
      </c>
      <c r="C13" s="141">
        <v>8019</v>
      </c>
    </row>
    <row r="14" spans="1:19" x14ac:dyDescent="0.3">
      <c r="A14" s="124">
        <v>300</v>
      </c>
      <c r="B14" s="125">
        <v>15</v>
      </c>
      <c r="C14" s="141">
        <v>8019</v>
      </c>
    </row>
    <row r="15" spans="1:19" x14ac:dyDescent="0.3">
      <c r="A15" s="124">
        <v>350</v>
      </c>
      <c r="B15" s="125">
        <v>15</v>
      </c>
      <c r="C15" s="141">
        <v>8019</v>
      </c>
    </row>
    <row r="16" spans="1:19" x14ac:dyDescent="0.3">
      <c r="A16" s="124">
        <v>400</v>
      </c>
      <c r="B16" s="125">
        <v>15</v>
      </c>
      <c r="C16" s="141">
        <v>8019</v>
      </c>
    </row>
    <row r="17" spans="1:3" x14ac:dyDescent="0.3">
      <c r="A17" s="124">
        <v>500</v>
      </c>
      <c r="B17" s="125">
        <v>15</v>
      </c>
      <c r="C17" s="141">
        <v>8019</v>
      </c>
    </row>
    <row r="18" spans="1:3" x14ac:dyDescent="0.3">
      <c r="A18" s="124">
        <v>600</v>
      </c>
      <c r="B18" s="125">
        <v>15</v>
      </c>
      <c r="C18" s="141">
        <v>8019</v>
      </c>
    </row>
    <row r="19" spans="1:3" x14ac:dyDescent="0.3">
      <c r="A19" s="124">
        <v>40</v>
      </c>
      <c r="B19" s="125">
        <v>150</v>
      </c>
      <c r="C19" s="141">
        <v>7693.5</v>
      </c>
    </row>
    <row r="20" spans="1:3" x14ac:dyDescent="0.3">
      <c r="A20" s="124">
        <v>50</v>
      </c>
      <c r="B20" s="125">
        <v>150</v>
      </c>
      <c r="C20" s="141">
        <v>7693.5</v>
      </c>
    </row>
    <row r="21" spans="1:3" x14ac:dyDescent="0.3">
      <c r="A21" s="124">
        <v>60</v>
      </c>
      <c r="B21" s="125">
        <v>150</v>
      </c>
      <c r="C21" s="141">
        <v>7693.5</v>
      </c>
    </row>
    <row r="22" spans="1:3" x14ac:dyDescent="0.3">
      <c r="A22" s="124">
        <v>70</v>
      </c>
      <c r="B22" s="125">
        <v>150</v>
      </c>
      <c r="C22" s="141">
        <v>7693.5</v>
      </c>
    </row>
    <row r="23" spans="1:3" x14ac:dyDescent="0.3">
      <c r="A23" s="124">
        <v>80</v>
      </c>
      <c r="B23" s="125">
        <v>150</v>
      </c>
      <c r="C23" s="141">
        <v>8145</v>
      </c>
    </row>
    <row r="24" spans="1:3" x14ac:dyDescent="0.3">
      <c r="A24" s="124">
        <v>100</v>
      </c>
      <c r="B24" s="125">
        <v>150</v>
      </c>
      <c r="C24" s="141">
        <v>8145</v>
      </c>
    </row>
    <row r="25" spans="1:3" x14ac:dyDescent="0.3">
      <c r="A25" s="124">
        <v>125</v>
      </c>
      <c r="B25" s="125">
        <v>150</v>
      </c>
      <c r="C25" s="141">
        <v>8145</v>
      </c>
    </row>
    <row r="26" spans="1:3" x14ac:dyDescent="0.3">
      <c r="A26" s="124">
        <v>150</v>
      </c>
      <c r="B26" s="125">
        <v>150</v>
      </c>
      <c r="C26" s="141">
        <v>8145</v>
      </c>
    </row>
    <row r="27" spans="1:3" x14ac:dyDescent="0.3">
      <c r="A27" s="124">
        <v>175</v>
      </c>
      <c r="B27" s="125">
        <v>150</v>
      </c>
      <c r="C27" s="141">
        <v>8145</v>
      </c>
    </row>
    <row r="28" spans="1:3" x14ac:dyDescent="0.3">
      <c r="A28" s="124">
        <v>200</v>
      </c>
      <c r="B28" s="125">
        <v>150</v>
      </c>
      <c r="C28" s="141">
        <v>9766.5</v>
      </c>
    </row>
    <row r="29" spans="1:3" x14ac:dyDescent="0.3">
      <c r="A29" s="124">
        <v>238</v>
      </c>
      <c r="B29" s="125">
        <v>150</v>
      </c>
      <c r="C29" s="141">
        <v>9766.5</v>
      </c>
    </row>
    <row r="30" spans="1:3" x14ac:dyDescent="0.3">
      <c r="A30" s="124">
        <v>250</v>
      </c>
      <c r="B30" s="125">
        <v>150</v>
      </c>
      <c r="C30" s="141">
        <v>9766.5</v>
      </c>
    </row>
    <row r="31" spans="1:3" x14ac:dyDescent="0.3">
      <c r="A31" s="124">
        <v>300</v>
      </c>
      <c r="B31" s="125">
        <v>150</v>
      </c>
      <c r="C31" s="141">
        <v>9766.5</v>
      </c>
    </row>
    <row r="32" spans="1:3" x14ac:dyDescent="0.3">
      <c r="A32" s="124">
        <v>350</v>
      </c>
      <c r="B32" s="125">
        <v>150</v>
      </c>
      <c r="C32" s="141">
        <v>9766.5</v>
      </c>
    </row>
    <row r="33" spans="1:3" x14ac:dyDescent="0.3">
      <c r="A33" s="124">
        <v>400</v>
      </c>
      <c r="B33" s="125">
        <v>150</v>
      </c>
      <c r="C33" s="141">
        <v>9766.5</v>
      </c>
    </row>
    <row r="34" spans="1:3" x14ac:dyDescent="0.3">
      <c r="A34" s="124">
        <v>500</v>
      </c>
      <c r="B34" s="125">
        <v>150</v>
      </c>
      <c r="C34" s="141">
        <v>9766.5</v>
      </c>
    </row>
    <row r="35" spans="1:3" x14ac:dyDescent="0.3">
      <c r="A35" s="124">
        <v>600</v>
      </c>
      <c r="B35" s="125">
        <v>150</v>
      </c>
      <c r="C35" s="141">
        <v>9766.5</v>
      </c>
    </row>
    <row r="36" spans="1:3" x14ac:dyDescent="0.3">
      <c r="A36" s="124">
        <v>700</v>
      </c>
      <c r="B36" s="125">
        <v>150</v>
      </c>
      <c r="C36" s="141">
        <v>9766.5</v>
      </c>
    </row>
    <row r="37" spans="1:3" x14ac:dyDescent="0.3">
      <c r="A37" s="124">
        <v>800</v>
      </c>
      <c r="B37" s="125">
        <v>150</v>
      </c>
      <c r="C37" s="141">
        <v>9766.5</v>
      </c>
    </row>
    <row r="38" spans="1:3" x14ac:dyDescent="0.3">
      <c r="A38" s="124">
        <v>900</v>
      </c>
      <c r="B38" s="125">
        <v>150</v>
      </c>
      <c r="C38" s="141">
        <v>9766.5</v>
      </c>
    </row>
    <row r="39" spans="1:3" x14ac:dyDescent="0.3">
      <c r="A39" s="124">
        <v>40</v>
      </c>
      <c r="B39" s="132">
        <v>200</v>
      </c>
      <c r="C39" s="141">
        <v>8145</v>
      </c>
    </row>
    <row r="40" spans="1:3" x14ac:dyDescent="0.3">
      <c r="A40" s="124">
        <v>50</v>
      </c>
      <c r="B40" s="132">
        <v>200</v>
      </c>
      <c r="C40" s="141">
        <v>8145</v>
      </c>
    </row>
    <row r="41" spans="1:3" x14ac:dyDescent="0.3">
      <c r="A41" s="124">
        <v>60</v>
      </c>
      <c r="B41" s="132">
        <v>200</v>
      </c>
      <c r="C41" s="141">
        <v>8145</v>
      </c>
    </row>
    <row r="42" spans="1:3" x14ac:dyDescent="0.3">
      <c r="A42" s="124">
        <v>70</v>
      </c>
      <c r="B42" s="132">
        <v>200</v>
      </c>
      <c r="C42" s="141">
        <v>8145</v>
      </c>
    </row>
    <row r="43" spans="1:3" x14ac:dyDescent="0.3">
      <c r="A43" s="124">
        <v>80</v>
      </c>
      <c r="B43" s="132">
        <v>200</v>
      </c>
      <c r="C43" s="141">
        <v>8295</v>
      </c>
    </row>
    <row r="44" spans="1:3" x14ac:dyDescent="0.3">
      <c r="A44" s="124">
        <v>100</v>
      </c>
      <c r="B44" s="132">
        <v>200</v>
      </c>
      <c r="C44" s="141">
        <v>8295</v>
      </c>
    </row>
    <row r="45" spans="1:3" x14ac:dyDescent="0.3">
      <c r="A45" s="124">
        <v>125</v>
      </c>
      <c r="B45" s="132">
        <v>200</v>
      </c>
      <c r="C45" s="141">
        <v>8295</v>
      </c>
    </row>
    <row r="46" spans="1:3" x14ac:dyDescent="0.3">
      <c r="A46" s="124">
        <v>150</v>
      </c>
      <c r="B46" s="132">
        <v>200</v>
      </c>
      <c r="C46" s="141">
        <v>8295</v>
      </c>
    </row>
    <row r="47" spans="1:3" x14ac:dyDescent="0.3">
      <c r="A47" s="124">
        <v>175</v>
      </c>
      <c r="B47" s="132">
        <v>200</v>
      </c>
      <c r="C47" s="141">
        <v>8295</v>
      </c>
    </row>
    <row r="48" spans="1:3" x14ac:dyDescent="0.3">
      <c r="A48" s="124">
        <v>200</v>
      </c>
      <c r="B48" s="132">
        <v>200</v>
      </c>
      <c r="C48" s="141">
        <v>9766.5</v>
      </c>
    </row>
    <row r="49" spans="1:3" x14ac:dyDescent="0.3">
      <c r="A49" s="124">
        <v>238</v>
      </c>
      <c r="B49" s="132">
        <v>200</v>
      </c>
      <c r="C49" s="141">
        <v>9766.5</v>
      </c>
    </row>
    <row r="50" spans="1:3" x14ac:dyDescent="0.3">
      <c r="A50" s="124">
        <v>250</v>
      </c>
      <c r="B50" s="132">
        <v>200</v>
      </c>
      <c r="C50" s="141">
        <v>9766.5</v>
      </c>
    </row>
    <row r="51" spans="1:3" x14ac:dyDescent="0.3">
      <c r="A51" s="124">
        <v>300</v>
      </c>
      <c r="B51" s="132">
        <v>200</v>
      </c>
      <c r="C51" s="141">
        <v>9766.5</v>
      </c>
    </row>
    <row r="52" spans="1:3" x14ac:dyDescent="0.3">
      <c r="A52" s="124">
        <v>350</v>
      </c>
      <c r="B52" s="132">
        <v>200</v>
      </c>
      <c r="C52" s="141">
        <v>9766.5</v>
      </c>
    </row>
    <row r="53" spans="1:3" x14ac:dyDescent="0.3">
      <c r="A53" s="124">
        <v>400</v>
      </c>
      <c r="B53" s="132">
        <v>200</v>
      </c>
      <c r="C53" s="141">
        <v>9766.5</v>
      </c>
    </row>
    <row r="54" spans="1:3" x14ac:dyDescent="0.3">
      <c r="A54" s="124">
        <v>500</v>
      </c>
      <c r="B54" s="132">
        <v>200</v>
      </c>
      <c r="C54" s="141">
        <v>9766.5</v>
      </c>
    </row>
    <row r="55" spans="1:3" x14ac:dyDescent="0.3">
      <c r="A55" s="124">
        <v>600</v>
      </c>
      <c r="B55" s="132">
        <v>200</v>
      </c>
      <c r="C55" s="141">
        <v>9766.5</v>
      </c>
    </row>
    <row r="56" spans="1:3" x14ac:dyDescent="0.3">
      <c r="A56" s="124">
        <v>700</v>
      </c>
      <c r="B56" s="132">
        <v>200</v>
      </c>
      <c r="C56" s="141">
        <v>9766.5</v>
      </c>
    </row>
    <row r="57" spans="1:3" x14ac:dyDescent="0.3">
      <c r="A57" s="124">
        <v>800</v>
      </c>
      <c r="B57" s="132">
        <v>200</v>
      </c>
      <c r="C57" s="141">
        <v>9766.5</v>
      </c>
    </row>
    <row r="58" spans="1:3" x14ac:dyDescent="0.3">
      <c r="A58" s="124">
        <v>900</v>
      </c>
      <c r="B58" s="132">
        <v>200</v>
      </c>
      <c r="C58" s="141">
        <v>9766.5</v>
      </c>
    </row>
    <row r="59" spans="1:3" x14ac:dyDescent="0.3">
      <c r="A59" s="124">
        <v>40</v>
      </c>
      <c r="B59" s="132">
        <v>250</v>
      </c>
      <c r="C59" s="141">
        <v>8295</v>
      </c>
    </row>
    <row r="60" spans="1:3" x14ac:dyDescent="0.3">
      <c r="A60" s="124">
        <v>50</v>
      </c>
      <c r="B60" s="132">
        <v>250</v>
      </c>
      <c r="C60" s="141">
        <v>8295</v>
      </c>
    </row>
    <row r="61" spans="1:3" x14ac:dyDescent="0.3">
      <c r="A61" s="124">
        <v>60</v>
      </c>
      <c r="B61" s="132">
        <v>250</v>
      </c>
      <c r="C61" s="141">
        <v>8295</v>
      </c>
    </row>
    <row r="62" spans="1:3" x14ac:dyDescent="0.3">
      <c r="A62" s="124">
        <v>70</v>
      </c>
      <c r="B62" s="132">
        <v>250</v>
      </c>
      <c r="C62" s="141">
        <v>8295</v>
      </c>
    </row>
    <row r="63" spans="1:3" x14ac:dyDescent="0.3">
      <c r="A63" s="124">
        <v>80</v>
      </c>
      <c r="B63" s="132">
        <v>250</v>
      </c>
      <c r="C63" s="141">
        <v>9030</v>
      </c>
    </row>
    <row r="64" spans="1:3" x14ac:dyDescent="0.3">
      <c r="A64" s="124">
        <v>100</v>
      </c>
      <c r="B64" s="132">
        <v>250</v>
      </c>
      <c r="C64" s="141">
        <v>9030</v>
      </c>
    </row>
    <row r="65" spans="1:3" x14ac:dyDescent="0.3">
      <c r="A65" s="124">
        <v>125</v>
      </c>
      <c r="B65" s="132">
        <v>250</v>
      </c>
      <c r="C65" s="141">
        <v>9030</v>
      </c>
    </row>
    <row r="66" spans="1:3" x14ac:dyDescent="0.3">
      <c r="A66" s="124">
        <v>150</v>
      </c>
      <c r="B66" s="132">
        <v>250</v>
      </c>
      <c r="C66" s="141">
        <v>9030</v>
      </c>
    </row>
    <row r="67" spans="1:3" x14ac:dyDescent="0.3">
      <c r="A67" s="124">
        <v>175</v>
      </c>
      <c r="B67" s="132">
        <v>250</v>
      </c>
      <c r="C67" s="141">
        <v>9030</v>
      </c>
    </row>
    <row r="68" spans="1:3" x14ac:dyDescent="0.3">
      <c r="A68" s="124">
        <v>200</v>
      </c>
      <c r="B68" s="132">
        <v>250</v>
      </c>
      <c r="C68" s="141">
        <v>11220</v>
      </c>
    </row>
    <row r="69" spans="1:3" x14ac:dyDescent="0.3">
      <c r="A69" s="124">
        <v>238</v>
      </c>
      <c r="B69" s="132">
        <v>250</v>
      </c>
      <c r="C69" s="141">
        <v>11220</v>
      </c>
    </row>
    <row r="70" spans="1:3" x14ac:dyDescent="0.3">
      <c r="A70" s="124">
        <v>250</v>
      </c>
      <c r="B70" s="132">
        <v>250</v>
      </c>
      <c r="C70" s="141">
        <v>11220</v>
      </c>
    </row>
    <row r="71" spans="1:3" x14ac:dyDescent="0.3">
      <c r="A71" s="124">
        <v>300</v>
      </c>
      <c r="B71" s="132">
        <v>250</v>
      </c>
      <c r="C71" s="141">
        <v>11220</v>
      </c>
    </row>
    <row r="72" spans="1:3" x14ac:dyDescent="0.3">
      <c r="A72" s="124">
        <v>350</v>
      </c>
      <c r="B72" s="132">
        <v>250</v>
      </c>
      <c r="C72" s="141">
        <v>11220</v>
      </c>
    </row>
    <row r="73" spans="1:3" x14ac:dyDescent="0.3">
      <c r="A73" s="124">
        <v>400</v>
      </c>
      <c r="B73" s="132">
        <v>250</v>
      </c>
      <c r="C73" s="141">
        <v>11220</v>
      </c>
    </row>
    <row r="74" spans="1:3" x14ac:dyDescent="0.3">
      <c r="A74" s="124">
        <v>500</v>
      </c>
      <c r="B74" s="132">
        <v>250</v>
      </c>
      <c r="C74" s="141">
        <v>11220</v>
      </c>
    </row>
    <row r="75" spans="1:3" x14ac:dyDescent="0.3">
      <c r="A75" s="124">
        <v>600</v>
      </c>
      <c r="B75" s="132">
        <v>250</v>
      </c>
      <c r="C75" s="141">
        <v>11220</v>
      </c>
    </row>
    <row r="76" spans="1:3" x14ac:dyDescent="0.3">
      <c r="A76" s="124">
        <v>700</v>
      </c>
      <c r="B76" s="132">
        <v>250</v>
      </c>
      <c r="C76" s="141">
        <v>11220</v>
      </c>
    </row>
    <row r="77" spans="1:3" x14ac:dyDescent="0.3">
      <c r="A77" s="124">
        <v>800</v>
      </c>
      <c r="B77" s="132">
        <v>250</v>
      </c>
      <c r="C77" s="141">
        <v>11220</v>
      </c>
    </row>
    <row r="78" spans="1:3" x14ac:dyDescent="0.3">
      <c r="A78" s="124">
        <v>900</v>
      </c>
      <c r="B78" s="132">
        <v>250</v>
      </c>
      <c r="C78" s="141">
        <v>11220</v>
      </c>
    </row>
    <row r="79" spans="1:3" x14ac:dyDescent="0.3">
      <c r="A79" s="124">
        <v>40</v>
      </c>
      <c r="B79" s="132">
        <v>300</v>
      </c>
      <c r="C79" s="141">
        <v>8295</v>
      </c>
    </row>
    <row r="80" spans="1:3" x14ac:dyDescent="0.3">
      <c r="A80" s="124">
        <v>50</v>
      </c>
      <c r="B80" s="132">
        <v>300</v>
      </c>
      <c r="C80" s="141">
        <v>8295</v>
      </c>
    </row>
    <row r="81" spans="1:3" x14ac:dyDescent="0.3">
      <c r="A81" s="124">
        <v>60</v>
      </c>
      <c r="B81" s="132">
        <v>300</v>
      </c>
      <c r="C81" s="141">
        <v>8295</v>
      </c>
    </row>
    <row r="82" spans="1:3" x14ac:dyDescent="0.3">
      <c r="A82" s="124">
        <v>70</v>
      </c>
      <c r="B82" s="132">
        <v>300</v>
      </c>
      <c r="C82" s="141">
        <v>8295</v>
      </c>
    </row>
    <row r="83" spans="1:3" x14ac:dyDescent="0.3">
      <c r="A83" s="124">
        <v>80</v>
      </c>
      <c r="B83" s="132">
        <v>300</v>
      </c>
      <c r="C83" s="141">
        <v>9766.5</v>
      </c>
    </row>
    <row r="84" spans="1:3" x14ac:dyDescent="0.3">
      <c r="A84" s="124">
        <v>100</v>
      </c>
      <c r="B84" s="132">
        <v>300</v>
      </c>
      <c r="C84" s="141">
        <v>9766.5</v>
      </c>
    </row>
    <row r="85" spans="1:3" x14ac:dyDescent="0.3">
      <c r="A85" s="124">
        <v>125</v>
      </c>
      <c r="B85" s="132">
        <v>300</v>
      </c>
      <c r="C85" s="141">
        <v>9766.5</v>
      </c>
    </row>
    <row r="86" spans="1:3" x14ac:dyDescent="0.3">
      <c r="A86" s="124">
        <v>150</v>
      </c>
      <c r="B86" s="132">
        <v>300</v>
      </c>
      <c r="C86" s="141">
        <v>9766.5</v>
      </c>
    </row>
    <row r="87" spans="1:3" x14ac:dyDescent="0.3">
      <c r="A87" s="124">
        <v>175</v>
      </c>
      <c r="B87" s="132">
        <v>300</v>
      </c>
      <c r="C87" s="141">
        <v>9766.5</v>
      </c>
    </row>
    <row r="88" spans="1:3" x14ac:dyDescent="0.3">
      <c r="A88" s="124">
        <v>200</v>
      </c>
      <c r="B88" s="132">
        <v>300</v>
      </c>
      <c r="C88" s="141">
        <v>11220</v>
      </c>
    </row>
    <row r="89" spans="1:3" x14ac:dyDescent="0.3">
      <c r="A89" s="124">
        <v>238</v>
      </c>
      <c r="B89" s="132">
        <v>300</v>
      </c>
      <c r="C89" s="141">
        <v>11220</v>
      </c>
    </row>
    <row r="90" spans="1:3" x14ac:dyDescent="0.3">
      <c r="A90" s="124">
        <v>250</v>
      </c>
      <c r="B90" s="132">
        <v>300</v>
      </c>
      <c r="C90" s="141">
        <v>11220</v>
      </c>
    </row>
    <row r="91" spans="1:3" x14ac:dyDescent="0.3">
      <c r="A91" s="124">
        <v>300</v>
      </c>
      <c r="B91" s="132">
        <v>300</v>
      </c>
      <c r="C91" s="141">
        <v>11220</v>
      </c>
    </row>
    <row r="92" spans="1:3" x14ac:dyDescent="0.3">
      <c r="A92" s="124">
        <v>350</v>
      </c>
      <c r="B92" s="132">
        <v>300</v>
      </c>
      <c r="C92" s="141">
        <v>11220</v>
      </c>
    </row>
    <row r="93" spans="1:3" x14ac:dyDescent="0.3">
      <c r="A93" s="124">
        <v>400</v>
      </c>
      <c r="B93" s="132">
        <v>300</v>
      </c>
      <c r="C93" s="141">
        <v>11220</v>
      </c>
    </row>
    <row r="94" spans="1:3" x14ac:dyDescent="0.3">
      <c r="A94" s="124">
        <v>500</v>
      </c>
      <c r="B94" s="132">
        <v>300</v>
      </c>
      <c r="C94" s="141">
        <v>11220</v>
      </c>
    </row>
    <row r="95" spans="1:3" x14ac:dyDescent="0.3">
      <c r="A95" s="124">
        <v>600</v>
      </c>
      <c r="B95" s="132">
        <v>300</v>
      </c>
      <c r="C95" s="141">
        <v>11220</v>
      </c>
    </row>
    <row r="96" spans="1:3" x14ac:dyDescent="0.3">
      <c r="A96" s="124">
        <v>700</v>
      </c>
      <c r="B96" s="132">
        <v>300</v>
      </c>
      <c r="C96" s="141">
        <v>11220</v>
      </c>
    </row>
    <row r="97" spans="1:3" x14ac:dyDescent="0.3">
      <c r="A97" s="124">
        <v>800</v>
      </c>
      <c r="B97" s="132">
        <v>300</v>
      </c>
      <c r="C97" s="141">
        <v>11220</v>
      </c>
    </row>
    <row r="98" spans="1:3" x14ac:dyDescent="0.3">
      <c r="A98" s="124">
        <v>900</v>
      </c>
      <c r="B98" s="132">
        <v>300</v>
      </c>
      <c r="C98" s="141">
        <v>11220</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2</vt:i4>
      </vt:variant>
    </vt:vector>
  </HeadingPairs>
  <TitlesOfParts>
    <vt:vector size="9" baseType="lpstr">
      <vt:lpstr>S-Series Quote</vt:lpstr>
      <vt:lpstr>Data Entry</vt:lpstr>
      <vt:lpstr>Options</vt:lpstr>
      <vt:lpstr>Data Validation Tables</vt:lpstr>
      <vt:lpstr>Base Pricing</vt:lpstr>
      <vt:lpstr>Motor Options</vt:lpstr>
      <vt:lpstr>BDS</vt:lpstr>
      <vt:lpstr>'Data Entry'!Print_Area</vt:lpstr>
      <vt:lpstr>'S-Series Quote'!Print_Area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Anna McClellan</dc:creator>
  <cp:lastModifiedBy>Kevin Pheney</cp:lastModifiedBy>
  <cp:lastPrinted>2025-04-14T16:48:23Z</cp:lastPrinted>
  <dcterms:created xsi:type="dcterms:W3CDTF">2024-11-14T15:41:16Z</dcterms:created>
  <dcterms:modified xsi:type="dcterms:W3CDTF">2025-06-23T17:19:36Z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96 96 1920 1080</vt:lpwstr>
  </property>
</Properties>
</file>